
<file path=[Content_Types].xml><?xml version="1.0" encoding="utf-8"?>
<Types xmlns="http://schemas.openxmlformats.org/package/2006/content-types">
  <Default Extension="bin" ContentType="application/vnd.openxmlformats-officedocument.oleObject"/>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mc:AlternateContent xmlns:mc="http://schemas.openxmlformats.org/markup-compatibility/2006">
    <mc:Choice Requires="x15">
      <x15ac:absPath xmlns:x15ac="http://schemas.microsoft.com/office/spreadsheetml/2010/11/ac" url="E:\Arnab Docs\Six Sigma\SS Study Guide\"/>
    </mc:Choice>
  </mc:AlternateContent>
  <xr:revisionPtr revIDLastSave="0" documentId="13_ncr:1_{77366610-A11F-4B52-81B4-C1D2FAA78DA1}" xr6:coauthVersionLast="47" xr6:coauthVersionMax="47" xr10:uidLastSave="{00000000-0000-0000-0000-000000000000}"/>
  <bookViews>
    <workbookView xWindow="1990" yWindow="2520" windowWidth="14400" windowHeight="7360" tabRatio="855" activeTab="14" xr2:uid="{00000000-000D-0000-FFFF-FFFF00000000}"/>
  </bookViews>
  <sheets>
    <sheet name="Discrete Distributions" sheetId="1" r:id="rId1"/>
    <sheet name="Continous Distributions" sheetId="2" r:id="rId2"/>
    <sheet name="Measurement Assurance" sheetId="3" r:id="rId3"/>
    <sheet name="Statistical Inference" sheetId="4" r:id="rId4"/>
    <sheet name="SPC" sheetId="5" r:id="rId5"/>
    <sheet name="xBarR" sheetId="6" r:id="rId6"/>
    <sheet name="Process Capability" sheetId="7" r:id="rId7"/>
    <sheet name="Cpk" sheetId="8" r:id="rId8"/>
    <sheet name="Regression" sheetId="9" r:id="rId9"/>
    <sheet name="Skewness" sheetId="10" r:id="rId10"/>
    <sheet name="ANOVA" sheetId="11" r:id="rId11"/>
    <sheet name="Project Value" sheetId="12" r:id="rId12"/>
    <sheet name="Finance" sheetId="13" r:id="rId13"/>
    <sheet name="Project Management" sheetId="14" r:id="rId14"/>
    <sheet name="ProMgt" sheetId="15" r:id="rId15"/>
    <sheet name="ED Sig Factor" sheetId="16" r:id="rId16"/>
    <sheet name="DOE Example 12_3" sheetId="17" r:id="rId17"/>
    <sheet name="Simplex" sheetId="18" r:id="rId18"/>
    <sheet name="OFAT Exa" sheetId="19" r:id="rId19"/>
    <sheet name="Screen" sheetId="20" r:id="rId20"/>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9" i="2" l="1"/>
  <c r="B10" i="2"/>
  <c r="C10" i="2"/>
  <c r="B11" i="2"/>
  <c r="C11" i="2"/>
  <c r="B12" i="2"/>
  <c r="C12" i="2"/>
  <c r="E20" i="2"/>
  <c r="J20" i="2"/>
  <c r="J23" i="2"/>
  <c r="J24" i="2"/>
  <c r="J25" i="2"/>
  <c r="B21" i="2"/>
  <c r="J21" i="2"/>
  <c r="B22" i="2"/>
  <c r="B23" i="2"/>
  <c r="N23" i="2"/>
  <c r="N24" i="2"/>
  <c r="N26" i="2"/>
  <c r="N27" i="2"/>
  <c r="M26" i="2"/>
  <c r="M27" i="2"/>
  <c r="E30" i="2"/>
  <c r="B31" i="2"/>
  <c r="B32" i="2"/>
  <c r="I32" i="2"/>
  <c r="B33" i="2"/>
  <c r="N33" i="2"/>
  <c r="N36" i="2"/>
  <c r="N37" i="2"/>
  <c r="N34" i="2"/>
  <c r="I36" i="2"/>
  <c r="M36" i="2"/>
  <c r="M37" i="2"/>
  <c r="I40" i="2"/>
  <c r="I41" i="2"/>
  <c r="C41" i="2"/>
  <c r="C55" i="2"/>
  <c r="C42" i="2"/>
  <c r="C43" i="2"/>
  <c r="C44" i="2"/>
  <c r="C45" i="2"/>
  <c r="C46" i="2"/>
  <c r="C47" i="2"/>
  <c r="B55" i="2"/>
  <c r="B56" i="2"/>
  <c r="C75" i="2"/>
  <c r="C83" i="2"/>
  <c r="C84" i="2"/>
  <c r="C85" i="2"/>
  <c r="C98" i="2"/>
  <c r="C86" i="2"/>
  <c r="C87" i="2"/>
  <c r="C88" i="2"/>
  <c r="C89" i="2"/>
  <c r="C90" i="2"/>
  <c r="B97" i="2"/>
  <c r="B98" i="2"/>
  <c r="N4" i="8"/>
  <c r="K5" i="8"/>
  <c r="K8" i="8"/>
  <c r="K11" i="8"/>
  <c r="K14" i="8"/>
  <c r="L43" i="8"/>
  <c r="J47" i="8"/>
  <c r="D69" i="8"/>
  <c r="D74" i="8"/>
  <c r="D73" i="8"/>
  <c r="B9" i="1"/>
  <c r="B10" i="1"/>
  <c r="B11" i="1"/>
  <c r="B12" i="1"/>
  <c r="B13" i="1"/>
  <c r="B20" i="1"/>
  <c r="B21" i="1"/>
  <c r="B22" i="1"/>
  <c r="B23" i="1"/>
  <c r="B24" i="1"/>
  <c r="B31" i="1"/>
  <c r="B32" i="1"/>
  <c r="B33" i="1"/>
  <c r="B34" i="1"/>
  <c r="B35" i="1"/>
  <c r="B43" i="1"/>
  <c r="C46" i="1"/>
  <c r="D46" i="1"/>
  <c r="B18" i="17"/>
  <c r="C18" i="17"/>
  <c r="D18" i="17"/>
  <c r="E18" i="17"/>
  <c r="F18" i="17"/>
  <c r="G18" i="17"/>
  <c r="H18" i="17"/>
  <c r="B90" i="17"/>
  <c r="C90" i="17"/>
  <c r="D90" i="17"/>
  <c r="E90" i="17"/>
  <c r="F90" i="17"/>
  <c r="G90" i="17"/>
  <c r="H90" i="17"/>
  <c r="B125" i="17"/>
  <c r="C125" i="17"/>
  <c r="D125" i="17"/>
  <c r="E125" i="17"/>
  <c r="F125" i="17"/>
  <c r="G125" i="17"/>
  <c r="H125" i="17"/>
  <c r="T151" i="17"/>
  <c r="U151" i="17"/>
  <c r="T156" i="17"/>
  <c r="T157" i="17"/>
  <c r="T158" i="17"/>
  <c r="T159" i="17"/>
  <c r="T160" i="17"/>
  <c r="T161" i="17"/>
  <c r="T162" i="17"/>
  <c r="T163" i="17"/>
  <c r="AA325" i="17"/>
  <c r="AB325" i="17"/>
  <c r="L327" i="17"/>
  <c r="M327" i="17"/>
  <c r="N327" i="17"/>
  <c r="O327" i="17"/>
  <c r="P327" i="17"/>
  <c r="Q327" i="17"/>
  <c r="R327" i="17"/>
  <c r="AA330" i="17"/>
  <c r="AA331" i="17"/>
  <c r="AA332" i="17"/>
  <c r="AA333" i="17"/>
  <c r="AA334" i="17"/>
  <c r="AA335" i="17"/>
  <c r="AA336" i="17"/>
  <c r="AA337" i="17"/>
  <c r="L363" i="17"/>
  <c r="M363" i="17"/>
  <c r="N363" i="17"/>
  <c r="O363" i="17"/>
  <c r="P363" i="17"/>
  <c r="Q363" i="17"/>
  <c r="R363" i="17"/>
  <c r="H5" i="13"/>
  <c r="B6" i="13"/>
  <c r="B11" i="13"/>
  <c r="B17" i="13"/>
  <c r="B22" i="13"/>
  <c r="B25" i="13"/>
  <c r="B12" i="7"/>
  <c r="E12" i="7"/>
  <c r="B13" i="7"/>
  <c r="E15" i="7"/>
  <c r="B19" i="7"/>
  <c r="B20" i="7"/>
  <c r="B24" i="7"/>
  <c r="E20" i="7"/>
  <c r="B23" i="7"/>
  <c r="O5" i="14"/>
  <c r="O6" i="14"/>
  <c r="O7" i="14"/>
  <c r="G12" i="14"/>
  <c r="H12" i="14"/>
  <c r="G13" i="14"/>
  <c r="H13" i="14"/>
  <c r="G14" i="14"/>
  <c r="H14" i="14"/>
  <c r="F18" i="14"/>
  <c r="G18" i="14"/>
  <c r="H18" i="14"/>
  <c r="F19" i="14"/>
  <c r="L33" i="14"/>
  <c r="G19" i="14"/>
  <c r="H19" i="14"/>
  <c r="F20" i="14"/>
  <c r="G20" i="14"/>
  <c r="H20" i="14"/>
  <c r="F21" i="14"/>
  <c r="G21" i="14"/>
  <c r="H21" i="14"/>
  <c r="F22" i="14"/>
  <c r="G22" i="14"/>
  <c r="H22" i="14"/>
  <c r="F23" i="14"/>
  <c r="G23" i="14"/>
  <c r="H23" i="14"/>
  <c r="L32" i="14"/>
  <c r="M33" i="14"/>
  <c r="L34" i="14"/>
  <c r="M34" i="14"/>
  <c r="B8" i="12"/>
  <c r="B13" i="12"/>
  <c r="B20" i="12"/>
  <c r="B25" i="12"/>
  <c r="B28" i="12"/>
  <c r="D28" i="12"/>
  <c r="J34" i="12"/>
  <c r="H9" i="15"/>
  <c r="I9" i="15"/>
  <c r="K9" i="15"/>
  <c r="H10" i="15"/>
  <c r="H32" i="15"/>
  <c r="I10" i="15"/>
  <c r="I32" i="15"/>
  <c r="H11" i="15"/>
  <c r="H30" i="15"/>
  <c r="I11" i="15"/>
  <c r="I30" i="15"/>
  <c r="H12" i="15"/>
  <c r="I12" i="15"/>
  <c r="H13" i="15"/>
  <c r="H14" i="15"/>
  <c r="H15" i="15"/>
  <c r="H16" i="15"/>
  <c r="H17" i="15"/>
  <c r="H18" i="15"/>
  <c r="H31" i="15"/>
  <c r="I31" i="15"/>
  <c r="F42" i="15"/>
  <c r="F43" i="15"/>
  <c r="F44" i="15"/>
  <c r="H10" i="9"/>
  <c r="H9" i="9"/>
  <c r="C11" i="9"/>
  <c r="D11" i="9"/>
  <c r="E11" i="9"/>
  <c r="E67" i="9"/>
  <c r="H15" i="9"/>
  <c r="H11" i="9"/>
  <c r="J13" i="9"/>
  <c r="C12" i="9"/>
  <c r="D12" i="9"/>
  <c r="D67" i="9"/>
  <c r="H14" i="9"/>
  <c r="H16" i="9"/>
  <c r="E12" i="9"/>
  <c r="H12" i="9"/>
  <c r="C13" i="9"/>
  <c r="D13" i="9"/>
  <c r="E13" i="9"/>
  <c r="C14" i="9"/>
  <c r="D14" i="9"/>
  <c r="E14" i="9"/>
  <c r="C15" i="9"/>
  <c r="D15" i="9"/>
  <c r="E15" i="9"/>
  <c r="C16" i="9"/>
  <c r="D16" i="9"/>
  <c r="E16" i="9"/>
  <c r="C17" i="9"/>
  <c r="D17" i="9"/>
  <c r="E17" i="9"/>
  <c r="C18" i="9"/>
  <c r="D18" i="9"/>
  <c r="E18" i="9"/>
  <c r="C19" i="9"/>
  <c r="D19" i="9"/>
  <c r="E19" i="9"/>
  <c r="C20" i="9"/>
  <c r="D20" i="9"/>
  <c r="E20" i="9"/>
  <c r="H20" i="9"/>
  <c r="I20" i="9"/>
  <c r="C21" i="9"/>
  <c r="D21" i="9"/>
  <c r="E21" i="9"/>
  <c r="C22" i="9"/>
  <c r="D22" i="9"/>
  <c r="E22" i="9"/>
  <c r="C23" i="9"/>
  <c r="D23" i="9"/>
  <c r="E23" i="9"/>
  <c r="C24" i="9"/>
  <c r="D24" i="9"/>
  <c r="E24" i="9"/>
  <c r="C25" i="9"/>
  <c r="D25" i="9"/>
  <c r="E25" i="9"/>
  <c r="C26" i="9"/>
  <c r="D26" i="9"/>
  <c r="E26" i="9"/>
  <c r="C27" i="9"/>
  <c r="D27" i="9"/>
  <c r="E27" i="9"/>
  <c r="C28" i="9"/>
  <c r="D28" i="9"/>
  <c r="E28" i="9"/>
  <c r="C29" i="9"/>
  <c r="D29" i="9"/>
  <c r="E29" i="9"/>
  <c r="C30" i="9"/>
  <c r="D30" i="9"/>
  <c r="E30" i="9"/>
  <c r="C31" i="9"/>
  <c r="D31" i="9"/>
  <c r="E31" i="9"/>
  <c r="C32" i="9"/>
  <c r="D32" i="9"/>
  <c r="E32" i="9"/>
  <c r="C33" i="9"/>
  <c r="D33" i="9"/>
  <c r="E33" i="9"/>
  <c r="C34" i="9"/>
  <c r="D34" i="9"/>
  <c r="E34" i="9"/>
  <c r="C35" i="9"/>
  <c r="D35" i="9"/>
  <c r="E35" i="9"/>
  <c r="C36" i="9"/>
  <c r="D36" i="9"/>
  <c r="E36" i="9"/>
  <c r="H36" i="9"/>
  <c r="C37" i="9"/>
  <c r="D37" i="9"/>
  <c r="E37" i="9"/>
  <c r="C38" i="9"/>
  <c r="D38" i="9"/>
  <c r="E38" i="9"/>
  <c r="C39" i="9"/>
  <c r="D39" i="9"/>
  <c r="E39" i="9"/>
  <c r="C40" i="9"/>
  <c r="D40" i="9"/>
  <c r="E40" i="9"/>
  <c r="C41" i="9"/>
  <c r="D41" i="9"/>
  <c r="E41" i="9"/>
  <c r="C42" i="9"/>
  <c r="D42" i="9"/>
  <c r="E42" i="9"/>
  <c r="C43" i="9"/>
  <c r="D43" i="9"/>
  <c r="E43" i="9"/>
  <c r="C44" i="9"/>
  <c r="D44" i="9"/>
  <c r="E44" i="9"/>
  <c r="C45" i="9"/>
  <c r="D45" i="9"/>
  <c r="E45" i="9"/>
  <c r="C46" i="9"/>
  <c r="D46" i="9"/>
  <c r="E46" i="9"/>
  <c r="C47" i="9"/>
  <c r="D47" i="9"/>
  <c r="E47" i="9"/>
  <c r="C48" i="9"/>
  <c r="D48" i="9"/>
  <c r="E48" i="9"/>
  <c r="C49" i="9"/>
  <c r="D49" i="9"/>
  <c r="E49" i="9"/>
  <c r="C50" i="9"/>
  <c r="D50" i="9"/>
  <c r="E50" i="9"/>
  <c r="C51" i="9"/>
  <c r="D51" i="9"/>
  <c r="E51" i="9"/>
  <c r="C52" i="9"/>
  <c r="D52" i="9"/>
  <c r="E52" i="9"/>
  <c r="C53" i="9"/>
  <c r="D53" i="9"/>
  <c r="E53" i="9"/>
  <c r="C54" i="9"/>
  <c r="D54" i="9"/>
  <c r="E54" i="9"/>
  <c r="C55" i="9"/>
  <c r="C67" i="9"/>
  <c r="H13" i="9"/>
  <c r="D55" i="9"/>
  <c r="E55" i="9"/>
  <c r="C56" i="9"/>
  <c r="D56" i="9"/>
  <c r="E56" i="9"/>
  <c r="C57" i="9"/>
  <c r="D57" i="9"/>
  <c r="E57" i="9"/>
  <c r="C58" i="9"/>
  <c r="D58" i="9"/>
  <c r="E58" i="9"/>
  <c r="C59" i="9"/>
  <c r="D59" i="9"/>
  <c r="E59" i="9"/>
  <c r="C60" i="9"/>
  <c r="D60" i="9"/>
  <c r="E60" i="9"/>
  <c r="C61" i="9"/>
  <c r="D61" i="9"/>
  <c r="E61" i="9"/>
  <c r="C62" i="9"/>
  <c r="D62" i="9"/>
  <c r="E62" i="9"/>
  <c r="C63" i="9"/>
  <c r="D63" i="9"/>
  <c r="E63" i="9"/>
  <c r="C64" i="9"/>
  <c r="D64" i="9"/>
  <c r="E64" i="9"/>
  <c r="C65" i="9"/>
  <c r="D65" i="9"/>
  <c r="E65" i="9"/>
  <c r="C66" i="9"/>
  <c r="D66" i="9"/>
  <c r="E66" i="9"/>
  <c r="A67" i="9"/>
  <c r="B67" i="9"/>
  <c r="N5" i="20"/>
  <c r="O5" i="20"/>
  <c r="P5" i="20"/>
  <c r="Q5" i="20"/>
  <c r="N6" i="20"/>
  <c r="O6" i="20"/>
  <c r="P6" i="20"/>
  <c r="Q6" i="20"/>
  <c r="N7" i="20"/>
  <c r="O7" i="20"/>
  <c r="P7" i="20"/>
  <c r="Q7" i="20"/>
  <c r="N8" i="20"/>
  <c r="O8" i="20"/>
  <c r="P8" i="20"/>
  <c r="Q8" i="20"/>
  <c r="N9" i="20"/>
  <c r="O9" i="20"/>
  <c r="P9" i="20"/>
  <c r="Q9" i="20"/>
  <c r="N10" i="20"/>
  <c r="O10" i="20"/>
  <c r="P10" i="20"/>
  <c r="Q10" i="20"/>
  <c r="N11" i="20"/>
  <c r="O11" i="20"/>
  <c r="P11" i="20"/>
  <c r="Q11" i="20"/>
  <c r="N12" i="20"/>
  <c r="O12" i="20"/>
  <c r="P12" i="20"/>
  <c r="Q12" i="20"/>
  <c r="N13" i="20"/>
  <c r="O13" i="20"/>
  <c r="P13" i="20"/>
  <c r="Q13" i="20"/>
  <c r="N14" i="20"/>
  <c r="O14" i="20"/>
  <c r="P14" i="20"/>
  <c r="Q14" i="20"/>
  <c r="N15" i="20"/>
  <c r="O15" i="20"/>
  <c r="P15" i="20"/>
  <c r="Q15" i="20"/>
  <c r="N16" i="20"/>
  <c r="O16" i="20"/>
  <c r="P16" i="20"/>
  <c r="Q16" i="20"/>
  <c r="N29" i="20"/>
  <c r="O29" i="20"/>
  <c r="P29" i="20"/>
  <c r="Q29" i="20"/>
  <c r="N30" i="20"/>
  <c r="O30" i="20"/>
  <c r="P30" i="20"/>
  <c r="Q30" i="20"/>
  <c r="N31" i="20"/>
  <c r="O31" i="20"/>
  <c r="P31" i="20"/>
  <c r="Q31" i="20"/>
  <c r="N32" i="20"/>
  <c r="O32" i="20"/>
  <c r="P32" i="20"/>
  <c r="Q32" i="20"/>
  <c r="N33" i="20"/>
  <c r="O33" i="20"/>
  <c r="P33" i="20"/>
  <c r="Q33" i="20"/>
  <c r="N34" i="20"/>
  <c r="O34" i="20"/>
  <c r="P34" i="20"/>
  <c r="Q34" i="20"/>
  <c r="N35" i="20"/>
  <c r="O35" i="20"/>
  <c r="P35" i="20"/>
  <c r="Q35" i="20"/>
  <c r="N36" i="20"/>
  <c r="O36" i="20"/>
  <c r="P36" i="20"/>
  <c r="Q36" i="20"/>
  <c r="N37" i="20"/>
  <c r="O37" i="20"/>
  <c r="P37" i="20"/>
  <c r="Q37" i="20"/>
  <c r="N38" i="20"/>
  <c r="O38" i="20"/>
  <c r="P38" i="20"/>
  <c r="Q38" i="20"/>
  <c r="C4" i="10"/>
  <c r="N6" i="5"/>
  <c r="O6" i="5"/>
  <c r="G7" i="5"/>
  <c r="AI6" i="5"/>
  <c r="AB6" i="5"/>
  <c r="AJ6" i="5"/>
  <c r="B7" i="5"/>
  <c r="C7" i="5"/>
  <c r="N7" i="5"/>
  <c r="O7" i="5"/>
  <c r="AI7" i="5"/>
  <c r="AJ7" i="5"/>
  <c r="B8" i="5"/>
  <c r="C8" i="5"/>
  <c r="N8" i="5"/>
  <c r="G6" i="5"/>
  <c r="O8" i="5"/>
  <c r="AI8" i="5"/>
  <c r="AJ8" i="5"/>
  <c r="AB7" i="5"/>
  <c r="G9" i="5"/>
  <c r="N9" i="5"/>
  <c r="O9" i="5"/>
  <c r="AB9" i="5"/>
  <c r="AI9" i="5"/>
  <c r="AJ9" i="5"/>
  <c r="G10" i="5"/>
  <c r="N10" i="5"/>
  <c r="O10" i="5"/>
  <c r="AB10" i="5"/>
  <c r="AI10" i="5"/>
  <c r="AJ10" i="5"/>
  <c r="G11" i="5"/>
  <c r="N11" i="5"/>
  <c r="O11" i="5"/>
  <c r="AB11" i="5"/>
  <c r="AI11" i="5"/>
  <c r="AJ11" i="5"/>
  <c r="B12" i="5"/>
  <c r="N12" i="5"/>
  <c r="O12" i="5"/>
  <c r="AI12" i="5"/>
  <c r="AJ12" i="5"/>
  <c r="B13" i="5"/>
  <c r="N13" i="5"/>
  <c r="O13" i="5"/>
  <c r="AI13" i="5"/>
  <c r="AJ13" i="5"/>
  <c r="N14" i="5"/>
  <c r="O14" i="5"/>
  <c r="AI14" i="5"/>
  <c r="AJ14" i="5"/>
  <c r="N15" i="5"/>
  <c r="O15" i="5"/>
  <c r="AI15" i="5"/>
  <c r="AJ15" i="5"/>
  <c r="N16" i="5"/>
  <c r="O16" i="5"/>
  <c r="AI16" i="5"/>
  <c r="AJ16" i="5"/>
  <c r="N17" i="5"/>
  <c r="O17" i="5"/>
  <c r="AI17" i="5"/>
  <c r="AJ17" i="5"/>
  <c r="B18" i="5"/>
  <c r="N18" i="5"/>
  <c r="O18" i="5"/>
  <c r="AI18" i="5"/>
  <c r="AJ18" i="5"/>
  <c r="N19" i="5"/>
  <c r="O19" i="5"/>
  <c r="AI19" i="5"/>
  <c r="AJ19" i="5"/>
  <c r="N20" i="5"/>
  <c r="O20" i="5"/>
  <c r="AI20" i="5"/>
  <c r="AJ20" i="5"/>
  <c r="N21" i="5"/>
  <c r="O21" i="5"/>
  <c r="AI21" i="5"/>
  <c r="AJ21" i="5"/>
  <c r="N22" i="5"/>
  <c r="O22" i="5"/>
  <c r="AI22" i="5"/>
  <c r="AJ22" i="5"/>
  <c r="B23" i="5"/>
  <c r="N23" i="5"/>
  <c r="O23" i="5"/>
  <c r="AI23" i="5"/>
  <c r="AJ23" i="5"/>
  <c r="N24" i="5"/>
  <c r="O24" i="5"/>
  <c r="AI24" i="5"/>
  <c r="AJ24" i="5"/>
  <c r="N25" i="5"/>
  <c r="O25" i="5"/>
  <c r="AI25" i="5"/>
  <c r="AJ25" i="5"/>
  <c r="N26" i="5"/>
  <c r="O26" i="5"/>
  <c r="AI26" i="5"/>
  <c r="AJ26" i="5"/>
  <c r="N27" i="5"/>
  <c r="O27" i="5"/>
  <c r="AI27" i="5"/>
  <c r="AJ27" i="5"/>
  <c r="C28" i="5"/>
  <c r="N28" i="5"/>
  <c r="O28" i="5"/>
  <c r="AI28" i="5"/>
  <c r="AJ28" i="5"/>
  <c r="C29" i="5"/>
  <c r="B19" i="5"/>
  <c r="N29" i="5"/>
  <c r="O29" i="5"/>
  <c r="AI29" i="5"/>
  <c r="AJ29" i="5"/>
  <c r="C30" i="5"/>
  <c r="N30" i="5"/>
  <c r="O30" i="5"/>
  <c r="AI30" i="5"/>
  <c r="AJ30" i="5"/>
  <c r="C31" i="5"/>
  <c r="N31" i="5"/>
  <c r="O31" i="5"/>
  <c r="AI31" i="5"/>
  <c r="AJ31" i="5"/>
  <c r="C32" i="5"/>
  <c r="N32" i="5"/>
  <c r="O32" i="5"/>
  <c r="AI32" i="5"/>
  <c r="AJ32" i="5"/>
  <c r="C33" i="5"/>
  <c r="N33" i="5"/>
  <c r="O33" i="5"/>
  <c r="AI33" i="5"/>
  <c r="AJ33" i="5"/>
  <c r="C34" i="5"/>
  <c r="N34" i="5"/>
  <c r="O34" i="5"/>
  <c r="AI34" i="5"/>
  <c r="AJ34" i="5"/>
  <c r="C35" i="5"/>
  <c r="N35" i="5"/>
  <c r="O35" i="5"/>
  <c r="AI35" i="5"/>
  <c r="AJ35" i="5"/>
  <c r="C36" i="5"/>
  <c r="N36" i="5"/>
  <c r="O36" i="5"/>
  <c r="AI36" i="5"/>
  <c r="AJ36" i="5"/>
  <c r="C37" i="5"/>
  <c r="N37" i="5"/>
  <c r="O37" i="5"/>
  <c r="AI37" i="5"/>
  <c r="AJ37" i="5"/>
  <c r="C38" i="5"/>
  <c r="N38" i="5"/>
  <c r="O38" i="5"/>
  <c r="AI38" i="5"/>
  <c r="AJ38" i="5"/>
  <c r="C39" i="5"/>
  <c r="N39" i="5"/>
  <c r="O39" i="5"/>
  <c r="AI39" i="5"/>
  <c r="AJ39" i="5"/>
  <c r="C40" i="5"/>
  <c r="N40" i="5"/>
  <c r="O40" i="5"/>
  <c r="AI40" i="5"/>
  <c r="AJ40" i="5"/>
  <c r="C41" i="5"/>
  <c r="N41" i="5"/>
  <c r="O41" i="5"/>
  <c r="AI41" i="5"/>
  <c r="AJ41" i="5"/>
  <c r="C42" i="5"/>
  <c r="AI42" i="5"/>
  <c r="AJ42" i="5"/>
  <c r="C43" i="5"/>
  <c r="AI43" i="5"/>
  <c r="AJ43" i="5"/>
  <c r="C44" i="5"/>
  <c r="AI44" i="5"/>
  <c r="AJ44" i="5"/>
  <c r="C45" i="5"/>
  <c r="AI45" i="5"/>
  <c r="AJ45" i="5"/>
  <c r="C46" i="5"/>
  <c r="AI46" i="5"/>
  <c r="AJ46" i="5"/>
  <c r="C47" i="5"/>
  <c r="AI47" i="5"/>
  <c r="AJ47" i="5"/>
  <c r="C48" i="5"/>
  <c r="AI48" i="5"/>
  <c r="AJ48" i="5"/>
  <c r="C49" i="5"/>
  <c r="AI49" i="5"/>
  <c r="AJ49" i="5"/>
  <c r="C50" i="5"/>
  <c r="AI50" i="5"/>
  <c r="AJ50" i="5"/>
  <c r="C51" i="5"/>
  <c r="AI51" i="5"/>
  <c r="AJ51" i="5"/>
  <c r="C52" i="5"/>
  <c r="AI52" i="5"/>
  <c r="AJ52" i="5"/>
  <c r="C53" i="5"/>
  <c r="AI53" i="5"/>
  <c r="AJ53" i="5"/>
  <c r="C54" i="5"/>
  <c r="C55" i="5"/>
  <c r="C56" i="5"/>
  <c r="S4" i="4"/>
  <c r="S8" i="4"/>
  <c r="S5" i="4"/>
  <c r="AB5" i="4"/>
  <c r="G6" i="4"/>
  <c r="M6" i="4"/>
  <c r="M8" i="4"/>
  <c r="S6" i="4"/>
  <c r="AB6" i="4"/>
  <c r="AK6" i="4"/>
  <c r="AN6" i="4"/>
  <c r="AN12" i="4"/>
  <c r="G7" i="4"/>
  <c r="G9" i="4"/>
  <c r="M7" i="4"/>
  <c r="AB7" i="4"/>
  <c r="AK7" i="4"/>
  <c r="AL7" i="4"/>
  <c r="AN7" i="4"/>
  <c r="G8" i="4"/>
  <c r="AB8" i="4"/>
  <c r="AK8" i="4"/>
  <c r="AN8" i="4"/>
  <c r="M9" i="4"/>
  <c r="AB9" i="4"/>
  <c r="AK9" i="4"/>
  <c r="AK11" i="4"/>
  <c r="AN9" i="4"/>
  <c r="AB10" i="4"/>
  <c r="AK10" i="4"/>
  <c r="AK12" i="4"/>
  <c r="AN10" i="4"/>
  <c r="S11" i="4"/>
  <c r="S14" i="4"/>
  <c r="AN11" i="4"/>
  <c r="AN13" i="4"/>
  <c r="AN15" i="4"/>
  <c r="S12" i="4"/>
  <c r="G13" i="4"/>
  <c r="G15" i="4"/>
  <c r="S13" i="4"/>
  <c r="G14" i="4"/>
  <c r="G16" i="4"/>
  <c r="AB14" i="4"/>
  <c r="S15" i="4"/>
  <c r="AB15" i="4"/>
  <c r="AB18" i="4"/>
  <c r="AB16" i="4"/>
  <c r="AB17" i="4"/>
  <c r="AB19" i="4"/>
  <c r="AK20" i="4"/>
  <c r="AK21" i="4"/>
  <c r="AK22" i="4"/>
  <c r="AK23" i="4"/>
  <c r="AK24" i="4"/>
  <c r="AK25" i="4"/>
  <c r="L35" i="4"/>
  <c r="L41" i="4"/>
  <c r="L42" i="4"/>
  <c r="L36" i="4"/>
  <c r="AN38" i="4"/>
  <c r="AN39" i="4"/>
  <c r="D53" i="4"/>
  <c r="D56" i="4"/>
  <c r="D57" i="4"/>
  <c r="D54" i="4"/>
  <c r="D55" i="4"/>
  <c r="L57" i="4"/>
  <c r="L64" i="4"/>
  <c r="V57" i="4"/>
  <c r="T51" i="4"/>
  <c r="L58" i="4"/>
  <c r="L63" i="4"/>
  <c r="V58" i="4"/>
  <c r="L59" i="4"/>
  <c r="V59" i="4"/>
  <c r="L60" i="4"/>
  <c r="V60" i="4"/>
  <c r="V61" i="4"/>
  <c r="V62" i="4"/>
  <c r="T41" i="4"/>
  <c r="D63" i="4"/>
  <c r="V63" i="4"/>
  <c r="D64" i="4"/>
  <c r="D66" i="4"/>
  <c r="V64" i="4"/>
  <c r="D65" i="4"/>
  <c r="V65" i="4"/>
  <c r="V66" i="4"/>
  <c r="V67" i="4"/>
  <c r="V68" i="4"/>
  <c r="V69" i="4"/>
  <c r="V70" i="4"/>
  <c r="V71" i="4"/>
  <c r="V72" i="4"/>
  <c r="V73" i="4"/>
  <c r="V74" i="4"/>
  <c r="V75" i="4"/>
  <c r="V76" i="4"/>
  <c r="Q137" i="4"/>
  <c r="H142" i="4"/>
  <c r="H145" i="4"/>
  <c r="H146" i="4"/>
  <c r="H147" i="4"/>
  <c r="H148" i="4"/>
  <c r="H143" i="4"/>
  <c r="H144" i="4"/>
  <c r="H153" i="4"/>
  <c r="H156" i="4"/>
  <c r="H154" i="4"/>
  <c r="H155" i="4"/>
  <c r="H157" i="4"/>
  <c r="I5" i="6"/>
  <c r="B5" i="6"/>
  <c r="J5" i="6"/>
  <c r="B6" i="6"/>
  <c r="I6" i="6"/>
  <c r="J6" i="6"/>
  <c r="I7" i="6"/>
  <c r="J7" i="6"/>
  <c r="B8" i="6"/>
  <c r="I8" i="6"/>
  <c r="J8" i="6"/>
  <c r="B9" i="6"/>
  <c r="I9" i="6"/>
  <c r="J9" i="6"/>
  <c r="B10" i="6"/>
  <c r="I10" i="6"/>
  <c r="J10" i="6"/>
  <c r="I11" i="6"/>
  <c r="J11" i="6"/>
  <c r="I12" i="6"/>
  <c r="J12" i="6"/>
  <c r="I13" i="6"/>
  <c r="J13" i="6"/>
  <c r="I14" i="6"/>
  <c r="J14" i="6"/>
  <c r="I15" i="6"/>
  <c r="J15" i="6"/>
  <c r="I16" i="6"/>
  <c r="J16" i="6"/>
  <c r="I17" i="6"/>
  <c r="J17" i="6"/>
  <c r="I18" i="6"/>
  <c r="J18" i="6"/>
  <c r="I19" i="6"/>
  <c r="J19" i="6"/>
  <c r="I20" i="6"/>
  <c r="J20" i="6"/>
  <c r="I21" i="6"/>
  <c r="J21" i="6"/>
  <c r="I22" i="6"/>
  <c r="J22" i="6"/>
  <c r="I23" i="6"/>
  <c r="J23" i="6"/>
  <c r="I24" i="6"/>
  <c r="J24" i="6"/>
  <c r="I25" i="6"/>
  <c r="J25" i="6"/>
  <c r="I26" i="6"/>
  <c r="J26" i="6"/>
  <c r="I27" i="6"/>
  <c r="J27" i="6"/>
  <c r="I28" i="6"/>
  <c r="J28" i="6"/>
  <c r="I29" i="6"/>
  <c r="J29" i="6"/>
  <c r="I30" i="6"/>
  <c r="J30" i="6"/>
  <c r="I31" i="6"/>
  <c r="J31" i="6"/>
  <c r="I32" i="6"/>
  <c r="J32" i="6"/>
  <c r="I33" i="6"/>
  <c r="J33" i="6"/>
  <c r="I34" i="6"/>
  <c r="J34" i="6"/>
  <c r="I35" i="6"/>
  <c r="J35" i="6"/>
  <c r="I36" i="6"/>
  <c r="J36" i="6"/>
  <c r="I37" i="6"/>
  <c r="J37" i="6"/>
  <c r="I38" i="6"/>
  <c r="J38" i="6"/>
  <c r="B21" i="5"/>
  <c r="G13" i="5"/>
  <c r="G12" i="5"/>
  <c r="B24" i="5"/>
  <c r="B20" i="5"/>
  <c r="B11" i="6"/>
  <c r="B12" i="6"/>
  <c r="AB13" i="5"/>
  <c r="AB12" i="5"/>
  <c r="H37" i="9"/>
  <c r="G15" i="5"/>
  <c r="G14" i="5"/>
  <c r="H38" i="9"/>
  <c r="H30" i="9"/>
  <c r="AK14" i="4"/>
  <c r="AK16" i="4"/>
  <c r="H23" i="9"/>
  <c r="AB15" i="5"/>
  <c r="AB14" i="5"/>
  <c r="H25" i="9"/>
  <c r="C58" i="2"/>
  <c r="C61" i="2"/>
  <c r="D67" i="4"/>
  <c r="D68" i="4"/>
  <c r="B14" i="6"/>
  <c r="B13" i="6"/>
  <c r="L62" i="4"/>
  <c r="H29" i="9"/>
  <c r="AK13" i="4"/>
  <c r="AK15" i="4"/>
  <c r="C97" i="2"/>
  <c r="H159" i="4"/>
  <c r="T50" i="4"/>
  <c r="L40" i="4"/>
  <c r="H42" i="9"/>
  <c r="H26" i="9"/>
  <c r="H24" i="9"/>
  <c r="J30" i="15"/>
  <c r="T40" i="4"/>
  <c r="C47" i="1"/>
  <c r="C56" i="2"/>
  <c r="C65" i="2"/>
  <c r="C66" i="2"/>
  <c r="H32" i="9"/>
  <c r="I33" i="15"/>
  <c r="B26" i="7"/>
  <c r="H160" i="4"/>
  <c r="H158" i="4"/>
  <c r="T49" i="4"/>
  <c r="AN14" i="4"/>
  <c r="AN16" i="4"/>
  <c r="T39" i="4"/>
  <c r="T42" i="4"/>
  <c r="T43" i="4"/>
  <c r="L39" i="4"/>
  <c r="M10" i="4"/>
  <c r="S7" i="4"/>
  <c r="H48" i="9"/>
  <c r="H33" i="15"/>
  <c r="B25" i="7"/>
  <c r="H54" i="9"/>
  <c r="H31" i="9"/>
  <c r="M32" i="14"/>
  <c r="C72" i="2"/>
  <c r="H43" i="9"/>
  <c r="H44" i="9"/>
  <c r="C71" i="2"/>
  <c r="H50" i="9"/>
  <c r="H49" i="9"/>
  <c r="C70" i="2"/>
  <c r="H56" i="9"/>
  <c r="H55" i="9"/>
  <c r="D47" i="1"/>
  <c r="C48" i="1"/>
  <c r="T52" i="4"/>
  <c r="T53" i="4"/>
  <c r="C100" i="2"/>
  <c r="C103" i="2"/>
  <c r="C107" i="2"/>
  <c r="C108" i="2"/>
  <c r="C114" i="2"/>
  <c r="C112" i="2"/>
  <c r="C113" i="2"/>
  <c r="C49" i="1"/>
  <c r="D48" i="1"/>
  <c r="D49" i="1"/>
  <c r="C50" i="1"/>
  <c r="D50" i="1"/>
  <c r="C51" i="1"/>
  <c r="D51" i="1"/>
  <c r="C52" i="1"/>
  <c r="C53" i="1"/>
  <c r="D52" i="1"/>
  <c r="D53" i="1"/>
  <c r="C54" i="1"/>
  <c r="D54" i="1"/>
  <c r="C55" i="1"/>
  <c r="D55" i="1"/>
  <c r="C56" i="1"/>
  <c r="C57" i="1"/>
  <c r="D56" i="1"/>
  <c r="D57" i="1"/>
  <c r="C58" i="1"/>
  <c r="D58" i="1"/>
  <c r="C59" i="1"/>
  <c r="D59" i="1"/>
  <c r="C60" i="1"/>
  <c r="C61" i="1"/>
  <c r="D60" i="1"/>
  <c r="D61" i="1"/>
  <c r="C62" i="1"/>
  <c r="D62" i="1"/>
  <c r="C63" i="1"/>
  <c r="D63" i="1"/>
  <c r="C64" i="1"/>
  <c r="C65" i="1"/>
  <c r="D64" i="1"/>
  <c r="D65" i="1"/>
  <c r="C66" i="1"/>
  <c r="D66" i="1"/>
  <c r="C67" i="1"/>
  <c r="D67" i="1"/>
  <c r="C68" i="1"/>
  <c r="C69" i="1"/>
  <c r="D68" i="1"/>
  <c r="D69" i="1"/>
  <c r="C70" i="1"/>
  <c r="D70" i="1"/>
  <c r="C71" i="1"/>
  <c r="D71" i="1"/>
  <c r="C72" i="1"/>
  <c r="C73" i="1"/>
  <c r="D72" i="1"/>
  <c r="D73" i="1"/>
  <c r="C74" i="1"/>
  <c r="D74" i="1"/>
</calcChain>
</file>

<file path=xl/sharedStrings.xml><?xml version="1.0" encoding="utf-8"?>
<sst xmlns="http://schemas.openxmlformats.org/spreadsheetml/2006/main" count="1858" uniqueCount="728">
  <si>
    <t>Input Data</t>
  </si>
  <si>
    <t>Discrete Distributions</t>
  </si>
  <si>
    <t>Answer</t>
  </si>
  <si>
    <t>NOTE</t>
  </si>
  <si>
    <t>Binomial Distribution</t>
  </si>
  <si>
    <t>p(x,n,p)</t>
  </si>
  <si>
    <t>Sample Questions</t>
  </si>
  <si>
    <t>A plant produces marbles, and 80.2% of all marbles produced are red.  What is the probability of selecting exactly 7 red marble(s) in a randomly selected sample of 12 marbles?</t>
  </si>
  <si>
    <t>An event has historically averaged 6.33 occurrences per time period, what is the probability of less than 7 occurrence(s) in a randomly selected time period of the same length?</t>
  </si>
  <si>
    <t>A sample of 4 items is taken from a population of 7 containing 5 blue items.  What is the probability of obtaining exactly 2 blue item(s)?</t>
  </si>
  <si>
    <t>An event has historically averaged a success rate of .798 on a single trial, what is the probability that more than or equal to 1 trial(s) are required to obtain the first success?</t>
  </si>
  <si>
    <t>x (Successes) =</t>
  </si>
  <si>
    <t>n (Trials) =</t>
  </si>
  <si>
    <t>p (Probability) =</t>
  </si>
  <si>
    <t>Probability of exactly (x) successes =</t>
  </si>
  <si>
    <t xml:space="preserve">Probability of being less than x = </t>
  </si>
  <si>
    <t xml:space="preserve">Probability of being greater than x = </t>
  </si>
  <si>
    <t xml:space="preserve">Probability of being less then or equal to x = </t>
  </si>
  <si>
    <t xml:space="preserve">Probability of being greater than or equal to x = </t>
  </si>
  <si>
    <t>if answer doesn't make sense, may be 0 or 1?!!!</t>
  </si>
  <si>
    <t>Poisson Distribution</t>
  </si>
  <si>
    <t>p(x,μ)</t>
  </si>
  <si>
    <t>binomial</t>
  </si>
  <si>
    <t>poisson</t>
  </si>
  <si>
    <t>hyper</t>
  </si>
  <si>
    <t>geometric</t>
  </si>
  <si>
    <t>x (Occurences) =</t>
  </si>
  <si>
    <t>μ (Avg. Occur.) =</t>
  </si>
  <si>
    <t>First question to answer - Is there an upper limit on the number of successes?</t>
  </si>
  <si>
    <t>If the answer is no, then it's a poissan distribution. Also if there's a rate.</t>
  </si>
  <si>
    <t>Is answer binary? Then distribution is binomial, geometric or hypergeometric.</t>
  </si>
  <si>
    <t>If proability of repeat is high, it's a binomial distribution.</t>
  </si>
  <si>
    <t>Geometric Distribution</t>
  </si>
  <si>
    <t>p(x,p)</t>
  </si>
  <si>
    <t>If proability of repeating is low, it's a hypergeometric distribution.</t>
  </si>
  <si>
    <t xml:space="preserve">p (Probability of success on a single trial) = </t>
  </si>
  <si>
    <t>If number of successes = 1, then it's a -------- distribution.</t>
  </si>
  <si>
    <t>xth (Trial) =</t>
  </si>
  <si>
    <t>= Probability that the first success is on trial x</t>
  </si>
  <si>
    <t>= The probability that more than x trials is required to obtain the first success</t>
  </si>
  <si>
    <t>= The probability that less than x trials is required to obtain the first success</t>
  </si>
  <si>
    <t>= The probability that more than or equal to X trials is required to obtain The first success</t>
  </si>
  <si>
    <t>= The probability that less than or equal to X trials is required to obtain The first success</t>
  </si>
  <si>
    <t>Hypergeometric Distribution</t>
  </si>
  <si>
    <t>p(x,N,n,m)</t>
  </si>
  <si>
    <t>(Excel does not have cumulative hypergeometric function)</t>
  </si>
  <si>
    <t>n (Sample) =</t>
  </si>
  <si>
    <t>N (Populatiom) =</t>
  </si>
  <si>
    <t>m (Successes Contained in population) =</t>
  </si>
  <si>
    <t>x</t>
  </si>
  <si>
    <t>Probability of less than or = to (x) successes</t>
  </si>
  <si>
    <t>Probability of more than (x) successes</t>
  </si>
  <si>
    <t>=HYPGEOMDIST(x,n,k,N).</t>
  </si>
  <si>
    <t>NOTE: If your answer is returned as #NUM! it means</t>
  </si>
  <si>
    <t>the answer is zero or one. Excel isn't programmed</t>
  </si>
  <si>
    <t xml:space="preserve"> to give zero as the answer for this type</t>
  </si>
  <si>
    <t xml:space="preserve"> of statistical function.</t>
  </si>
  <si>
    <t>Weibull Distribution Example</t>
  </si>
  <si>
    <t xml:space="preserve"> (Shape Parameter) Beta = </t>
  </si>
  <si>
    <t xml:space="preserve">(Shape Parameter) Beta = </t>
  </si>
  <si>
    <t xml:space="preserve"> (Scale Parameter) Theta = </t>
  </si>
  <si>
    <t xml:space="preserve">(Scale Perameter) Theta = </t>
  </si>
  <si>
    <t xml:space="preserve"> Greater Than(x) = </t>
  </si>
  <si>
    <t xml:space="preserve"> Less than (y) = </t>
  </si>
  <si>
    <t>(x) =</t>
  </si>
  <si>
    <t xml:space="preserve">Probability of being less than y = </t>
  </si>
  <si>
    <t xml:space="preserve">Probability of being between (x low) and (y high) = </t>
  </si>
  <si>
    <t>Normal Distribution Example</t>
  </si>
  <si>
    <r>
      <t>µ</t>
    </r>
    <r>
      <rPr>
        <sz val="10"/>
        <rFont val="Arial"/>
      </rPr>
      <t xml:space="preserve"> (Mean) = </t>
    </r>
  </si>
  <si>
    <t xml:space="preserve">µ (Mean) = </t>
  </si>
  <si>
    <t xml:space="preserve">std = </t>
  </si>
  <si>
    <t>x =</t>
  </si>
  <si>
    <t>Probability of beeing less than x =</t>
  </si>
  <si>
    <t xml:space="preserve">n = </t>
  </si>
  <si>
    <t>Sums</t>
  </si>
  <si>
    <t>y =</t>
  </si>
  <si>
    <t xml:space="preserve">x = </t>
  </si>
  <si>
    <t xml:space="preserve">Mean of avg = </t>
  </si>
  <si>
    <t xml:space="preserve">Mean = </t>
  </si>
  <si>
    <t xml:space="preserve">std of avg = </t>
  </si>
  <si>
    <t>* Used to calc probability % or</t>
  </si>
  <si>
    <t>x=</t>
  </si>
  <si>
    <t>inversely to arrive at the value</t>
  </si>
  <si>
    <t xml:space="preserve">Probability of being less than  = </t>
  </si>
  <si>
    <t xml:space="preserve">Mean of sum = </t>
  </si>
  <si>
    <t>Answer for less than</t>
  </si>
  <si>
    <t xml:space="preserve">std of sum = </t>
  </si>
  <si>
    <t xml:space="preserve">Probability of being greater than  = </t>
  </si>
  <si>
    <t xml:space="preserve">X = </t>
  </si>
  <si>
    <t xml:space="preserve">Exponential Distribution </t>
  </si>
  <si>
    <t>Exponential Distribution</t>
  </si>
  <si>
    <t xml:space="preserve">(x) = </t>
  </si>
  <si>
    <t>enter % as a decimal</t>
  </si>
  <si>
    <t>Averages</t>
  </si>
  <si>
    <t xml:space="preserve">(y) = </t>
  </si>
  <si>
    <t xml:space="preserve"> Probability of being greater than x = </t>
  </si>
  <si>
    <t>Prob &gt; X =</t>
  </si>
  <si>
    <t>Prob &lt; X =</t>
  </si>
  <si>
    <t>Lognormal Distribution</t>
  </si>
  <si>
    <t>Data</t>
  </si>
  <si>
    <t>LN Data</t>
  </si>
  <si>
    <t xml:space="preserve">Prob &lt; X = </t>
  </si>
  <si>
    <t xml:space="preserve">Mean </t>
  </si>
  <si>
    <t xml:space="preserve">std </t>
  </si>
  <si>
    <t>Probability of being less than x =</t>
  </si>
  <si>
    <t>hours =</t>
  </si>
  <si>
    <t>Reliability</t>
  </si>
  <si>
    <t xml:space="preserve">R(hours) = </t>
  </si>
  <si>
    <t>n =</t>
  </si>
  <si>
    <t xml:space="preserve">Probability of being greater than y = </t>
  </si>
  <si>
    <r>
      <t xml:space="preserve">Use Measurement  Assurance software for </t>
    </r>
    <r>
      <rPr>
        <b/>
        <u/>
        <sz val="22"/>
        <rFont val="Arial"/>
        <family val="2"/>
      </rPr>
      <t>ALL</t>
    </r>
    <r>
      <rPr>
        <b/>
        <sz val="22"/>
        <rFont val="Arial"/>
        <family val="2"/>
      </rPr>
      <t xml:space="preserve"> of this section</t>
    </r>
  </si>
  <si>
    <t>Gage Bias</t>
  </si>
  <si>
    <t>Linearity</t>
  </si>
  <si>
    <t>&amp;</t>
  </si>
  <si>
    <t>Repeatability and Reproducibility</t>
  </si>
  <si>
    <t>When copying data into Measurement Assurance software,</t>
  </si>
  <si>
    <t>Factor A</t>
  </si>
  <si>
    <t>Factor B</t>
  </si>
  <si>
    <t>Factor C</t>
  </si>
  <si>
    <t>Factor D</t>
  </si>
  <si>
    <t>Factor E</t>
  </si>
  <si>
    <t>Factor F</t>
  </si>
  <si>
    <t>Result</t>
  </si>
  <si>
    <t>always delete any text BEFORE performing calculation.</t>
  </si>
  <si>
    <t>Confidence Interval for Rates</t>
  </si>
  <si>
    <t>Confidence Intervals for Proportions</t>
  </si>
  <si>
    <t>Confidence Interval for the Mean</t>
  </si>
  <si>
    <t>Confidence Interval for the Variance</t>
  </si>
  <si>
    <t>Key =</t>
  </si>
  <si>
    <t>For 1 sided confidence level, subtract (or double) the % for Conf. Lvl.</t>
  </si>
  <si>
    <t>Two Sided</t>
  </si>
  <si>
    <t>Tools Output</t>
  </si>
  <si>
    <t xml:space="preserve">Number of samples (n) = </t>
  </si>
  <si>
    <t>Confidence Level (Two-Sided) =</t>
  </si>
  <si>
    <t>Find Confidence Bound Data</t>
  </si>
  <si>
    <t xml:space="preserve">Number of failures (r) = </t>
  </si>
  <si>
    <t>Estimated Mean =</t>
  </si>
  <si>
    <t>One Sided</t>
  </si>
  <si>
    <t>Notes</t>
  </si>
  <si>
    <t xml:space="preserve">Number of Occurrences = </t>
  </si>
  <si>
    <t xml:space="preserve">Confidence Level = </t>
  </si>
  <si>
    <t>Estimated Standard Deviation =</t>
  </si>
  <si>
    <t>Confidence =</t>
  </si>
  <si>
    <r>
      <t xml:space="preserve">Sample Question:  Confidence Interval for the Variance
</t>
    </r>
    <r>
      <rPr>
        <sz val="10"/>
        <rFont val="Arial"/>
      </rPr>
      <t>Given the data in the table below, what is the value of the computed statistic when testing to determine if the standard deviation is greater than 7.2?  Please use at least 3 decimal places for all answers.</t>
    </r>
  </si>
  <si>
    <t>Lower Critical Chi-Square</t>
  </si>
  <si>
    <t xml:space="preserve">F Right Numerator = </t>
  </si>
  <si>
    <t>Critical t</t>
  </si>
  <si>
    <t>Count =</t>
  </si>
  <si>
    <t>SD</t>
  </si>
  <si>
    <t>Upper Critical Chi-Square</t>
  </si>
  <si>
    <t xml:space="preserve">F Left Denominator = </t>
  </si>
  <si>
    <t>Lower Confidence Limit =</t>
  </si>
  <si>
    <t>Variance =</t>
  </si>
  <si>
    <t>Lower Confidence Limit for the Number of Occurrences =</t>
  </si>
  <si>
    <t xml:space="preserve">F Right Denominator = </t>
  </si>
  <si>
    <t>Upper Confidence Limit =</t>
  </si>
  <si>
    <t>Mean =</t>
  </si>
  <si>
    <t>Upper Confidence Limit for the Number of Occurrences =</t>
  </si>
  <si>
    <t xml:space="preserve">Lower Confidence Limit for the Proportion = </t>
  </si>
  <si>
    <t>Lower Confidence Limit for the Standard Deviation =</t>
  </si>
  <si>
    <t>Alpha-L =</t>
  </si>
  <si>
    <t xml:space="preserve">Upper Confidence Limit for the Proportion = </t>
  </si>
  <si>
    <t>Confidence Level (One-Sided) =</t>
  </si>
  <si>
    <t>Upper Confidence Limit for the Standard Deviation =</t>
  </si>
  <si>
    <t>Alpha-U =</t>
  </si>
  <si>
    <t>Chi Lower =</t>
  </si>
  <si>
    <t>In case of one-sided test, must account 
for confidence of both tails:
If Confidence Level of 2 sided is 97%
3%*2=6%
=100-6%
enter 94% as confidence level for 1 sided</t>
  </si>
  <si>
    <t>Chi Upper =</t>
  </si>
  <si>
    <t>Lower Var =</t>
  </si>
  <si>
    <t>Result:  4.913237311</t>
  </si>
  <si>
    <t>Upper Var =</t>
  </si>
  <si>
    <t>Lower StdDev =</t>
  </si>
  <si>
    <t>Upper Std Dev =</t>
  </si>
  <si>
    <r>
      <t xml:space="preserve">Sample Question:  Confidence Interval for the Mean
</t>
    </r>
    <r>
      <rPr>
        <sz val="10"/>
        <rFont val="Arial"/>
      </rPr>
      <t>Given the data in the table below, what is the 99% lower confidence level(two-sided) for the mean?  Please use at least 3 decimal places for all answers.</t>
    </r>
  </si>
  <si>
    <t>Evaluate Probability or Statistic based at  value "X"</t>
  </si>
  <si>
    <r>
      <t xml:space="preserve">Sample Question: Confidence Intervals for Proportions
</t>
    </r>
    <r>
      <rPr>
        <sz val="10"/>
        <rFont val="Arial"/>
      </rPr>
      <t>A sample of 21 items was taken, and 4 of the units were found to be green.  What is the 97% upper confidence limit(one-sided) for the percentage of green items?  Do NOT enter your answer as a percent.  For example enter 0.04, not 4.0%  Please use at least 3 decimal places for all answers.</t>
    </r>
  </si>
  <si>
    <t>Value "X" =</t>
  </si>
  <si>
    <t>(use the sqrt of the variance)</t>
  </si>
  <si>
    <r>
      <t xml:space="preserve">Sample Question:  Confidence Interval for Rates
</t>
    </r>
    <r>
      <rPr>
        <sz val="10"/>
        <rFont val="Arial"/>
      </rPr>
      <t>An interval recorded 16 occurrences.  What is the 97% lower confidence limit(one-sided) for the number of occurrences in an interval?  Please use at least 2 decimal points for your answer.</t>
    </r>
  </si>
  <si>
    <t xml:space="preserve"> Chi Statistic</t>
  </si>
  <si>
    <t>Computed Statistic</t>
  </si>
  <si>
    <t>Statistical Significance =</t>
  </si>
  <si>
    <t>One-sided</t>
  </si>
  <si>
    <t>Two-sided</t>
  </si>
  <si>
    <t>Hypothesis Test for the Mean Against a Constant</t>
  </si>
  <si>
    <t>Hypothesis Test for the Variance Against a Constant</t>
  </si>
  <si>
    <t>Paired Hypothesis Test for Means</t>
  </si>
  <si>
    <t>Hypothesis Test for Two Means</t>
  </si>
  <si>
    <t>Test for Skewness</t>
  </si>
  <si>
    <t>t-Test: Paired Two Sample for Means</t>
  </si>
  <si>
    <t>t-Test: Two-Sample Assuming Unequal Variances</t>
  </si>
  <si>
    <r>
      <t xml:space="preserve">Sample Question: Hypothesis Test for the Variance Against a Constant
</t>
    </r>
    <r>
      <rPr>
        <sz val="10"/>
        <rFont val="Arial"/>
      </rPr>
      <t xml:space="preserve">Given the data in the table at left, what is the value of the </t>
    </r>
    <r>
      <rPr>
        <u/>
        <sz val="10"/>
        <rFont val="Arial"/>
        <family val="2"/>
      </rPr>
      <t xml:space="preserve">computed statistic </t>
    </r>
    <r>
      <rPr>
        <sz val="10"/>
        <rFont val="Arial"/>
      </rPr>
      <t>when testing to determine if the standard deviation is greater than 5.9?  Please use at least 3 decimal places for all answers.</t>
    </r>
  </si>
  <si>
    <t>Machine A</t>
  </si>
  <si>
    <t>Machine B</t>
  </si>
  <si>
    <t>Use the t-Test: Two-Sample Assuming Unequal Variances</t>
  </si>
  <si>
    <t xml:space="preserve">standard deviation = </t>
  </si>
  <si>
    <t>Two Tailed Test</t>
  </si>
  <si>
    <t xml:space="preserve">procedure under the Tools, Data Analysis Menu to get the </t>
  </si>
  <si>
    <t xml:space="preserve">Standard deviation for comparison = </t>
  </si>
  <si>
    <t xml:space="preserve">Constant = </t>
  </si>
  <si>
    <t>following results</t>
  </si>
  <si>
    <t xml:space="preserve">significance (area on each tail - given) = </t>
  </si>
  <si>
    <t xml:space="preserve">Significance = </t>
  </si>
  <si>
    <t>skewness:</t>
  </si>
  <si>
    <t xml:space="preserve">upper critical chi-square = </t>
  </si>
  <si>
    <t xml:space="preserve">Average = </t>
  </si>
  <si>
    <t xml:space="preserve">Rows Counted: </t>
  </si>
  <si>
    <t xml:space="preserve">lower critical chi-square = </t>
  </si>
  <si>
    <t xml:space="preserve">Sample Standard Deviation = </t>
  </si>
  <si>
    <t xml:space="preserve">computed chi-square statistic = </t>
  </si>
  <si>
    <t xml:space="preserve">Critical t = </t>
  </si>
  <si>
    <t xml:space="preserve">significance (area under each tail - computed) = </t>
  </si>
  <si>
    <t xml:space="preserve">Computed t = </t>
  </si>
  <si>
    <t>Mean</t>
  </si>
  <si>
    <t xml:space="preserve">Result = </t>
  </si>
  <si>
    <t>Variance</t>
  </si>
  <si>
    <t>Observations</t>
  </si>
  <si>
    <t>Hypothesized Mean Difference</t>
  </si>
  <si>
    <t>One Tailed Test</t>
  </si>
  <si>
    <t>df</t>
  </si>
  <si>
    <t>t Stat (computed statistic) =</t>
  </si>
  <si>
    <t>P(T&lt;=t) one-tail =</t>
  </si>
  <si>
    <t>t Critical one-tail =</t>
  </si>
  <si>
    <t>Two Sided Test</t>
  </si>
  <si>
    <t>P(T&lt;=t) two-tail =</t>
  </si>
  <si>
    <t>t Critical two-tail =</t>
  </si>
  <si>
    <t>Hypothesis Test for 2 Variance</t>
  </si>
  <si>
    <t>F-Test Two-Sample for Variance</t>
  </si>
  <si>
    <t xml:space="preserve">F = </t>
  </si>
  <si>
    <t>computed statistic or critical value</t>
  </si>
  <si>
    <t>Part</t>
  </si>
  <si>
    <t>Scale A</t>
  </si>
  <si>
    <t>Scale B</t>
  </si>
  <si>
    <t xml:space="preserve">standard deviation - population A = </t>
  </si>
  <si>
    <t xml:space="preserve">sample size population A = </t>
  </si>
  <si>
    <t xml:space="preserve">standard deviation - population B = </t>
  </si>
  <si>
    <t>One Sided Test</t>
  </si>
  <si>
    <t xml:space="preserve">sample size population B = </t>
  </si>
  <si>
    <t xml:space="preserve">significance (area in both tails, Alpha) = </t>
  </si>
  <si>
    <t xml:space="preserve">lower critical F = </t>
  </si>
  <si>
    <t xml:space="preserve">upper critical F = </t>
  </si>
  <si>
    <t xml:space="preserve">computed F (Critical Value, both tails) = </t>
  </si>
  <si>
    <t>F-Test Two-Sample for Variances</t>
  </si>
  <si>
    <t>P significance =</t>
  </si>
  <si>
    <r>
      <t xml:space="preserve">Sample Question: Hypothesis Test for the Mean Against a Constant
</t>
    </r>
    <r>
      <rPr>
        <sz val="10"/>
        <rFont val="Arial"/>
      </rPr>
      <t>Given the data in the table below, what is the computed statistic when testing to determine if the population mean is different than 192?  Please use at least 3 decimal places for all answers.</t>
    </r>
  </si>
  <si>
    <t>F</t>
  </si>
  <si>
    <t>P(F&lt;=f) one-tail</t>
  </si>
  <si>
    <t>F Critical one-tail</t>
  </si>
  <si>
    <r>
      <t xml:space="preserve">Sample Question:  Hypothesis Test for 2 Variance
</t>
    </r>
    <r>
      <rPr>
        <sz val="10"/>
        <rFont val="Arial"/>
      </rPr>
      <t>Given the data in the table below, what is the value of the computed statistic for a hypothesis test to determine if the variance of the parts produced by Machine A is greater than the variance of the parts produced by Machine B?  Please use at least 3 decimal places for all answers.</t>
    </r>
  </si>
  <si>
    <t>Pearson Correlation</t>
  </si>
  <si>
    <r>
      <t xml:space="preserve">NOTE:  Use </t>
    </r>
    <r>
      <rPr>
        <b/>
        <sz val="10"/>
        <rFont val="Arial"/>
        <family val="2"/>
      </rPr>
      <t>Data Analysis</t>
    </r>
    <r>
      <rPr>
        <sz val="10"/>
        <rFont val="Arial"/>
      </rPr>
      <t xml:space="preserve"> under </t>
    </r>
    <r>
      <rPr>
        <b/>
        <sz val="10"/>
        <rFont val="Arial"/>
        <family val="2"/>
      </rPr>
      <t>Tools</t>
    </r>
    <r>
      <rPr>
        <sz val="10"/>
        <rFont val="Arial"/>
      </rPr>
      <t xml:space="preserve"> to complete these sections</t>
    </r>
  </si>
  <si>
    <t>t Stat (Computed Statistic)</t>
  </si>
  <si>
    <t>P(T&lt;=t) one-tail</t>
  </si>
  <si>
    <t>t Critical Value one-tail</t>
  </si>
  <si>
    <t>P(T&lt;=t) two-tail</t>
  </si>
  <si>
    <t>t Critical Value two-tail</t>
  </si>
  <si>
    <r>
      <t xml:space="preserve">Sample Question:  Paired Hypothesis Test for Means
</t>
    </r>
    <r>
      <rPr>
        <sz val="10"/>
        <rFont val="Arial"/>
      </rPr>
      <t>Given the data in the table above, what is the critical value(one-tailed) of the statistic in a hypothesis test to determine if there is a difference in the measurements between Scale A and Scale B using a significance of 5%?</t>
    </r>
  </si>
  <si>
    <t>Key</t>
  </si>
  <si>
    <r>
      <t xml:space="preserve">Sample Question:  Hypothesis Test for the Mean Against a Constant
</t>
    </r>
    <r>
      <rPr>
        <sz val="10"/>
        <rFont val="Arial"/>
      </rPr>
      <t>Given the data in the table at right, at what level of statistical significance(one-sided test) is the population mean different from 204.6?  Please use at least 3 decimal places for all answers.</t>
    </r>
  </si>
  <si>
    <t>Find Statistical Signficance (Probability) at Value "X"</t>
  </si>
  <si>
    <t>X Value =</t>
  </si>
  <si>
    <t>Sample SD =</t>
  </si>
  <si>
    <t>Xbar =</t>
  </si>
  <si>
    <t>Standard Error =</t>
  </si>
  <si>
    <t>(Sigma/sqrt(n))</t>
  </si>
  <si>
    <t>Critical Value =</t>
  </si>
  <si>
    <t>(computed statistic)</t>
  </si>
  <si>
    <t>One-Sided</t>
  </si>
  <si>
    <t>Response:  0.134880843</t>
  </si>
  <si>
    <t>Two-Sided</t>
  </si>
  <si>
    <t>Find Limits for a Specified Confidence Level</t>
  </si>
  <si>
    <t>SD of Xbar</t>
  </si>
  <si>
    <t>2-tail Lower Limit =</t>
  </si>
  <si>
    <t>2-tail Upper Limit =</t>
  </si>
  <si>
    <t>1-tail Lower Limit =</t>
  </si>
  <si>
    <t>1-tail Upper Limit =</t>
  </si>
  <si>
    <t>p Chart</t>
  </si>
  <si>
    <t>X-Bar and Range Control Chart</t>
  </si>
  <si>
    <t>X-Bar and S Control Chart</t>
  </si>
  <si>
    <t xml:space="preserve">Percent Defective = </t>
  </si>
  <si>
    <t>Observation 1</t>
  </si>
  <si>
    <t>Observation 2</t>
  </si>
  <si>
    <t>Observation 3</t>
  </si>
  <si>
    <t>Observation 4</t>
  </si>
  <si>
    <t>Observation 5</t>
  </si>
  <si>
    <t>Average</t>
  </si>
  <si>
    <t>Range</t>
  </si>
  <si>
    <t>n</t>
  </si>
  <si>
    <r>
      <t>A</t>
    </r>
    <r>
      <rPr>
        <b/>
        <vertAlign val="subscript"/>
        <sz val="12"/>
        <rFont val="Times New Roman"/>
        <family val="1"/>
      </rPr>
      <t>2</t>
    </r>
  </si>
  <si>
    <r>
      <t>A</t>
    </r>
    <r>
      <rPr>
        <b/>
        <vertAlign val="subscript"/>
        <sz val="12"/>
        <rFont val="Times New Roman"/>
        <family val="1"/>
      </rPr>
      <t>3</t>
    </r>
  </si>
  <si>
    <r>
      <t>D</t>
    </r>
    <r>
      <rPr>
        <b/>
        <vertAlign val="subscript"/>
        <sz val="12"/>
        <rFont val="Times New Roman"/>
        <family val="1"/>
      </rPr>
      <t>3</t>
    </r>
  </si>
  <si>
    <r>
      <t>D</t>
    </r>
    <r>
      <rPr>
        <b/>
        <vertAlign val="subscript"/>
        <sz val="12"/>
        <rFont val="Times New Roman"/>
        <family val="1"/>
      </rPr>
      <t>4</t>
    </r>
  </si>
  <si>
    <r>
      <t>d</t>
    </r>
    <r>
      <rPr>
        <b/>
        <vertAlign val="subscript"/>
        <sz val="12"/>
        <rFont val="Times New Roman"/>
        <family val="1"/>
      </rPr>
      <t>2</t>
    </r>
  </si>
  <si>
    <r>
      <t>B</t>
    </r>
    <r>
      <rPr>
        <b/>
        <vertAlign val="subscript"/>
        <sz val="12"/>
        <rFont val="Times New Roman"/>
        <family val="1"/>
      </rPr>
      <t>3</t>
    </r>
  </si>
  <si>
    <r>
      <t>B</t>
    </r>
    <r>
      <rPr>
        <b/>
        <vertAlign val="subscript"/>
        <sz val="12"/>
        <rFont val="Times New Roman"/>
        <family val="1"/>
      </rPr>
      <t>4</t>
    </r>
  </si>
  <si>
    <t>s</t>
  </si>
  <si>
    <t xml:space="preserve">Sample Size = </t>
  </si>
  <si>
    <t xml:space="preserve">X-Double Bar = </t>
  </si>
  <si>
    <t xml:space="preserve">p Chart Lower Limit = </t>
  </si>
  <si>
    <t xml:space="preserve">R-Bar = </t>
  </si>
  <si>
    <t xml:space="preserve">S-Bar = </t>
  </si>
  <si>
    <t xml:space="preserve">p Chart Upper Limit = </t>
  </si>
  <si>
    <t xml:space="preserve">A2 = </t>
  </si>
  <si>
    <t xml:space="preserve">A3 = </t>
  </si>
  <si>
    <t>c Chart</t>
  </si>
  <si>
    <t xml:space="preserve">D3 = </t>
  </si>
  <si>
    <t xml:space="preserve">B3 = </t>
  </si>
  <si>
    <t>c-bar</t>
  </si>
  <si>
    <t xml:space="preserve">D4 = </t>
  </si>
  <si>
    <t xml:space="preserve">B4 = </t>
  </si>
  <si>
    <t xml:space="preserve">c Chart Lower Limit = </t>
  </si>
  <si>
    <t xml:space="preserve">X-Bar Chart Lower Limit = </t>
  </si>
  <si>
    <t xml:space="preserve">c Chart Upper Limit = </t>
  </si>
  <si>
    <t xml:space="preserve">X-Bar Chart Upper Limit = </t>
  </si>
  <si>
    <t xml:space="preserve">R-Bar Chart Lower Limit = </t>
  </si>
  <si>
    <t xml:space="preserve">S-Bar Chart Lower Limit = </t>
  </si>
  <si>
    <t xml:space="preserve">R-Bar Chart Upper Limit = </t>
  </si>
  <si>
    <t xml:space="preserve">S-Bar Chart Upper Limit = </t>
  </si>
  <si>
    <t>R-Bar = Range Chart</t>
  </si>
  <si>
    <t>X-Bar and Moving Range Control Chart</t>
  </si>
  <si>
    <t xml:space="preserve">X-Bar = </t>
  </si>
  <si>
    <t xml:space="preserve">MR-Bar = </t>
  </si>
  <si>
    <t>Number</t>
  </si>
  <si>
    <t>Moving Range</t>
  </si>
  <si>
    <t>Process Capability</t>
  </si>
  <si>
    <r>
      <t xml:space="preserve">Sample Question:  Finding Standard Deviation
</t>
    </r>
    <r>
      <rPr>
        <sz val="10"/>
        <rFont val="Arial"/>
        <family val="2"/>
      </rPr>
      <t>Given an average of 78.5, no lower specification, and an upper specification of 118.1, what is the maximum standard deviation if a Cpk greater than 1.67 is required?  Please provide your answer to at least 3 significant digits.</t>
    </r>
  </si>
  <si>
    <t>Response</t>
  </si>
  <si>
    <t>Finding Process Capability</t>
  </si>
  <si>
    <t>Finding Standard Deviation</t>
  </si>
  <si>
    <t xml:space="preserve">x-bar = </t>
  </si>
  <si>
    <t>average</t>
  </si>
  <si>
    <t>Cpk =</t>
  </si>
  <si>
    <t xml:space="preserve">Lower Specification = </t>
  </si>
  <si>
    <t xml:space="preserve">Upper Specification = </t>
  </si>
  <si>
    <t xml:space="preserve">Upper Specification (USL) = </t>
  </si>
  <si>
    <t xml:space="preserve">Cp = </t>
  </si>
  <si>
    <t xml:space="preserve">Standard Deviation (USL) = </t>
  </si>
  <si>
    <t xml:space="preserve">Lower Specification (LSL) = </t>
  </si>
  <si>
    <t xml:space="preserve">Standard Deviation (LSL) = </t>
  </si>
  <si>
    <t>Answer:  7.904191617</t>
  </si>
  <si>
    <t>Finding Process Capability given data</t>
  </si>
  <si>
    <t>Finding what P of production falls beyond the specification limit</t>
  </si>
  <si>
    <t>P(out of spec)</t>
  </si>
  <si>
    <t>Brian,</t>
  </si>
  <si>
    <t>Please see the attached question. Given the data, Upper and Lower Spec question is asking for long term process performance PPK. When I plugged in the data on formula just to the left I believe the answer should be 0.53511 since both specs are given. The correct answer given is -0.38295. Please help why is that?</t>
  </si>
  <si>
    <t>Process Performance (Cpk) =</t>
  </si>
  <si>
    <t>MIN =</t>
  </si>
  <si>
    <t>(Use when no Lower spec given)</t>
  </si>
  <si>
    <t>(Use when both Upper &amp; Lower spec given)</t>
  </si>
  <si>
    <t xml:space="preserve">Calculated from Lower Specification </t>
  </si>
  <si>
    <t>Value</t>
  </si>
  <si>
    <r>
      <t xml:space="preserve">Sample Question:  Finding Process Capability given data
</t>
    </r>
    <r>
      <rPr>
        <sz val="10"/>
        <rFont val="Arial"/>
      </rPr>
      <t>Given the data below, a lower specification of -.3, and an upper specification of 265.2, what is the long term process performance (Ppk)?   Please provide your answer to at least 3 significant digits.</t>
    </r>
  </si>
  <si>
    <t>Process Capability Indices Cpk</t>
  </si>
  <si>
    <t>Answer:  1.156812359</t>
  </si>
  <si>
    <t>Example</t>
  </si>
  <si>
    <t>For a certain process the USL = 20 and the LSL = 8. The observed process average is 16, and the standard deviation is 1.8.  Compute the Cp and Cpk.</t>
  </si>
  <si>
    <t>Solution</t>
  </si>
  <si>
    <t>The estimated process capability indices are</t>
  </si>
  <si>
    <t>Process capability compares the output of an in-control process to the specification limits by using capability indices. The comparison is made by forming the ratio of the spread between the process specifications (the specification "width") to the spread of the process values, as measured by 6 process standard deviation units (the process "width").</t>
  </si>
  <si>
    <t>Cpk=</t>
  </si>
  <si>
    <t>P(out of spec)=</t>
  </si>
  <si>
    <t>PPM=</t>
  </si>
  <si>
    <t>We are often required to compare the output of a stable process with the process specifications and make a statement about how well the process meets specification. To do this we compare the natural variability of a stable process with the process specification limits. A capable process is one where almost all the measurements fall inside the specification limits.</t>
  </si>
  <si>
    <t>{ u - xbar</t>
  </si>
  <si>
    <t>xbar - L }</t>
  </si>
  <si>
    <t xml:space="preserve">Cpk = </t>
  </si>
  <si>
    <t>Min</t>
  </si>
  <si>
    <t>{ 3 sigma</t>
  </si>
  <si>
    <t>3 sigma }</t>
  </si>
  <si>
    <t>There are several statistics that can be used to measure the capability of a process: Cp, Cpk, Cpm. Most capability indices estimates are valid only if the sample size used is 'large enough'. Large enough is generally thought to be about 50 independent data values. The Cp, Cpk, and Cpm statistics assume that the population of data values is normally distributed. Assuming a two sided specification, if m and s are the mean and standard deviation, respectively, of the normal data and USL, LSL, and T are the upper and lower specification limits and the target value, respectively, then the population capability indices are defined as follows:</t>
  </si>
  <si>
    <t>xbar =</t>
  </si>
  <si>
    <t>U =</t>
  </si>
  <si>
    <t>sigma =</t>
  </si>
  <si>
    <t>?</t>
  </si>
  <si>
    <t>L =</t>
  </si>
  <si>
    <t>If 6 sigma encompasses .9973, then a part will fall out of tolerance ever .0027</t>
  </si>
  <si>
    <t>Average Run Limit = 1/.0027</t>
  </si>
  <si>
    <t>Pre-Control</t>
  </si>
  <si>
    <t>Cumulative Sum Charts</t>
  </si>
  <si>
    <t>UL - xbar</t>
  </si>
  <si>
    <t>3 sigma</t>
  </si>
  <si>
    <t>(exponential dist)</t>
  </si>
  <si>
    <t>Use above to confirm normal dist vs exponential.</t>
  </si>
  <si>
    <t>Regression</t>
  </si>
  <si>
    <r>
      <t xml:space="preserve">For co-linear test use </t>
    </r>
    <r>
      <rPr>
        <b/>
        <u/>
        <sz val="10"/>
        <rFont val="Arial"/>
        <family val="2"/>
      </rPr>
      <t>correlation tes</t>
    </r>
    <r>
      <rPr>
        <b/>
        <sz val="10"/>
        <rFont val="Arial"/>
        <family val="2"/>
      </rPr>
      <t>t</t>
    </r>
  </si>
  <si>
    <r>
      <t xml:space="preserve">For estimated coefficient use </t>
    </r>
    <r>
      <rPr>
        <b/>
        <u/>
        <sz val="10"/>
        <rFont val="Arial"/>
        <family val="2"/>
      </rPr>
      <t>regression test</t>
    </r>
  </si>
  <si>
    <r>
      <t xml:space="preserve">For significance use </t>
    </r>
    <r>
      <rPr>
        <b/>
        <u/>
        <sz val="10"/>
        <rFont val="Arial"/>
        <family val="2"/>
      </rPr>
      <t>regression test</t>
    </r>
  </si>
  <si>
    <t>Simple Regression</t>
  </si>
  <si>
    <t>r^2 =</t>
  </si>
  <si>
    <t>coefficient of determination</t>
  </si>
  <si>
    <r>
      <t xml:space="preserve">Sample Question:  </t>
    </r>
    <r>
      <rPr>
        <b/>
        <i/>
        <u/>
        <sz val="14"/>
        <rFont val="Arial"/>
        <family val="2"/>
      </rPr>
      <t>Multiple Regression</t>
    </r>
  </si>
  <si>
    <t>X</t>
  </si>
  <si>
    <t>Y</t>
  </si>
  <si>
    <t>X2</t>
  </si>
  <si>
    <t>Y2</t>
  </si>
  <si>
    <t>XY</t>
  </si>
  <si>
    <t>r =</t>
  </si>
  <si>
    <t>correlation coefficient</t>
  </si>
  <si>
    <t>Select ALL of the factors that are significant at a level of 1%.</t>
  </si>
  <si>
    <t>x-coefficient (m) slope =</t>
  </si>
  <si>
    <t>estimated x-coefficient</t>
  </si>
  <si>
    <t>intercept</t>
  </si>
  <si>
    <t>if x =</t>
  </si>
  <si>
    <t>Click "Tools", "Data Analysis", "Regression", OK.</t>
  </si>
  <si>
    <t>Sxx</t>
  </si>
  <si>
    <t>then y =</t>
  </si>
  <si>
    <t>expected y given x (above)</t>
  </si>
  <si>
    <t>Hilite "Result" column for input "Y" range data.</t>
  </si>
  <si>
    <t>Syy</t>
  </si>
  <si>
    <t>R Square =</t>
  </si>
  <si>
    <t>Hilite all Factor columns for input "X" range data.</t>
  </si>
  <si>
    <t>Sxy</t>
  </si>
  <si>
    <t>Input confidence level as 1%.</t>
  </si>
  <si>
    <t>Specify open range of cells for output and click OK.</t>
  </si>
  <si>
    <t>Select all Factors with P-value of 0 as response.</t>
  </si>
  <si>
    <t>SUMMARY OUTPUT</t>
  </si>
  <si>
    <t>t</t>
  </si>
  <si>
    <t>Regression Statistics</t>
  </si>
  <si>
    <t>Confidence Interval for the parameters(2-sided)</t>
  </si>
  <si>
    <t>Multiple R</t>
  </si>
  <si>
    <t>Slope and x-coeff. Lower</t>
  </si>
  <si>
    <t>R Square</t>
  </si>
  <si>
    <t>Slope and x-coeff. Upper</t>
  </si>
  <si>
    <t>Adjusted R Square</t>
  </si>
  <si>
    <t>Intercept Lower</t>
  </si>
  <si>
    <t>Standard Error</t>
  </si>
  <si>
    <t>Intercept Upper</t>
  </si>
  <si>
    <t>Confidence Limit for the parameters(1-sided)</t>
  </si>
  <si>
    <t>ANOVA</t>
  </si>
  <si>
    <t>SS</t>
  </si>
  <si>
    <t>MS</t>
  </si>
  <si>
    <t>Significance F</t>
  </si>
  <si>
    <r>
      <t>Slope and x-coeff. U</t>
    </r>
    <r>
      <rPr>
        <u/>
        <sz val="10"/>
        <rFont val="Arial"/>
        <family val="2"/>
      </rPr>
      <t>pper</t>
    </r>
  </si>
  <si>
    <t>Int. Lower</t>
  </si>
  <si>
    <t>Residual</t>
  </si>
  <si>
    <t>Int. Upper</t>
  </si>
  <si>
    <t>Total</t>
  </si>
  <si>
    <t>Confidence Interval for a predicted Y(2-sided)</t>
  </si>
  <si>
    <t>Coefficients</t>
  </si>
  <si>
    <t>t Stat</t>
  </si>
  <si>
    <t>P-value</t>
  </si>
  <si>
    <t>Lower 95%</t>
  </si>
  <si>
    <t>Upper 95%</t>
  </si>
  <si>
    <t>Lower 1.0%</t>
  </si>
  <si>
    <t>Upper 1.0%</t>
  </si>
  <si>
    <t>Intercept</t>
  </si>
  <si>
    <t>Predicted Y</t>
  </si>
  <si>
    <t>Lower Pred Y</t>
  </si>
  <si>
    <t>Upper Pred Y</t>
  </si>
  <si>
    <t>Confidence Limit for a predicted Y(1-sided)</t>
  </si>
  <si>
    <t>Prediction Interval  for Y(2-sided)</t>
  </si>
  <si>
    <t>Prediction Limit  for Y(1-sided)</t>
  </si>
  <si>
    <t>Given the data in the table below, what is the skewness?  Please use at least 3 decimal places for all answers.</t>
  </si>
  <si>
    <t>data</t>
  </si>
  <si>
    <t>Analysis of Variance</t>
  </si>
  <si>
    <t>Main Effect between groups</t>
  </si>
  <si>
    <r>
      <t xml:space="preserve">Multi-Factor Anova Use </t>
    </r>
    <r>
      <rPr>
        <b/>
        <u/>
        <sz val="10"/>
        <rFont val="Arial"/>
        <family val="2"/>
      </rPr>
      <t>StatGraphics</t>
    </r>
  </si>
  <si>
    <t>Residual - within groups</t>
  </si>
  <si>
    <t>Download and install StatGraphics</t>
  </si>
  <si>
    <t>Open StatGraphics</t>
  </si>
  <si>
    <t>Copy data from question by highlighting data and hitting CTRL C - Do Not Use the Copy To Clipboard function. Manually highlight the data, use Control C to copy and Control V to paste into StatGraphics</t>
  </si>
  <si>
    <t>Close out of StatGraphics to make sure you erase old data.</t>
  </si>
  <si>
    <t>Click Improve</t>
  </si>
  <si>
    <t>Click Analysis of Variance</t>
  </si>
  <si>
    <t>Click Multi-factor ANOVA</t>
  </si>
  <si>
    <t>Highlight last column (results from question), click Dependent variable</t>
  </si>
  <si>
    <t>Highlight all columns abover last column (data), click Factors</t>
  </si>
  <si>
    <t>Click OK</t>
  </si>
  <si>
    <t>Double click on Mutlifactor ANOVA window.</t>
  </si>
  <si>
    <t>Look back at question, if "ignore interactions" then look for requested data in Analysis of Variance.  FYI, f-ratio = f stat</t>
  </si>
  <si>
    <t>If don't "ignore interactions" Right click in "Multifactor ANOVA" table and change number of interactions per question</t>
  </si>
  <si>
    <r>
      <t xml:space="preserve">Sample Question:  </t>
    </r>
    <r>
      <rPr>
        <b/>
        <i/>
        <u/>
        <sz val="14"/>
        <rFont val="Arial"/>
        <family val="2"/>
      </rPr>
      <t xml:space="preserve">One-Way ANOVA
</t>
    </r>
    <r>
      <rPr>
        <sz val="10"/>
        <rFont val="Arial"/>
      </rPr>
      <t>Given the results for each level of the factor below and using ANOVA, what is the value of the total sum of squares?</t>
    </r>
  </si>
  <si>
    <t>One-Way Anova  (use Excel "Data Analysis")</t>
  </si>
  <si>
    <t>Answer:  68019.6470238095</t>
  </si>
  <si>
    <t>Level 1</t>
  </si>
  <si>
    <t>Level 2</t>
  </si>
  <si>
    <t>Level 3</t>
  </si>
  <si>
    <t>Level 4</t>
  </si>
  <si>
    <t>Level 5</t>
  </si>
  <si>
    <t>Level 6</t>
  </si>
  <si>
    <t>Anova: Single Factor</t>
  </si>
  <si>
    <t>SUMMARY</t>
  </si>
  <si>
    <t>Groups</t>
  </si>
  <si>
    <t>Count</t>
  </si>
  <si>
    <t>Sum</t>
  </si>
  <si>
    <t>Value of significance (P-value)</t>
  </si>
  <si>
    <t>Source of Variation</t>
  </si>
  <si>
    <t>F crit</t>
  </si>
  <si>
    <r>
      <t xml:space="preserve">Between Groups </t>
    </r>
    <r>
      <rPr>
        <i/>
        <sz val="10"/>
        <rFont val="Arial"/>
        <family val="2"/>
      </rPr>
      <t>(main effect)</t>
    </r>
  </si>
  <si>
    <r>
      <t xml:space="preserve">Within Groups </t>
    </r>
    <r>
      <rPr>
        <i/>
        <sz val="10"/>
        <rFont val="Arial"/>
        <family val="2"/>
      </rPr>
      <t>(residual value)</t>
    </r>
  </si>
  <si>
    <t>(Computed F)</t>
  </si>
  <si>
    <t>Present Value</t>
  </si>
  <si>
    <t xml:space="preserve">Monthly Payment = </t>
  </si>
  <si>
    <t xml:space="preserve">Annual Interest Rate = </t>
  </si>
  <si>
    <t xml:space="preserve">Number of Payments = </t>
  </si>
  <si>
    <t xml:space="preserve">Initial Investment = </t>
  </si>
  <si>
    <t xml:space="preserve">Annual Payment = </t>
  </si>
  <si>
    <t>Payments</t>
  </si>
  <si>
    <t xml:space="preserve">Present Value = </t>
  </si>
  <si>
    <t>Internal Rate of Return</t>
  </si>
  <si>
    <t xml:space="preserve">Internal Rate of Return = </t>
  </si>
  <si>
    <t>IRR Example</t>
  </si>
  <si>
    <t>Period</t>
  </si>
  <si>
    <t>Dollars</t>
  </si>
  <si>
    <t>Year</t>
  </si>
  <si>
    <t>Cash Flow</t>
  </si>
  <si>
    <t>Month</t>
  </si>
  <si>
    <t>optimistic time (a)</t>
  </si>
  <si>
    <r>
      <t xml:space="preserve">Sample Question:  </t>
    </r>
    <r>
      <rPr>
        <b/>
        <i/>
        <u/>
        <sz val="10"/>
        <rFont val="Arial"/>
        <family val="2"/>
      </rPr>
      <t xml:space="preserve">PERT
</t>
    </r>
    <r>
      <rPr>
        <sz val="10"/>
        <rFont val="Arial"/>
      </rPr>
      <t>Given the data in the spreadsheet below, what is the probability of completing the critical path of the project in 27.62 time units or less?</t>
    </r>
  </si>
  <si>
    <t>pessimestic time (b)</t>
  </si>
  <si>
    <t>most likely time (m)</t>
  </si>
  <si>
    <t>mean = (a + 4m + b)/6</t>
  </si>
  <si>
    <t>std = (b - a)/6</t>
  </si>
  <si>
    <t>Answer:  0.110511</t>
  </si>
  <si>
    <t xml:space="preserve">Probability of being greater than 27.62 = </t>
  </si>
  <si>
    <t>(manually enter the upper &amp; lower limits in the equations)</t>
  </si>
  <si>
    <t xml:space="preserve">Probability of being less than 27.62 = </t>
  </si>
  <si>
    <t xml:space="preserve">Probability of being between (X-upper) and (X-lower) = </t>
  </si>
  <si>
    <t>equation has to be changed every time</t>
  </si>
  <si>
    <t>(enter response in decimal format)</t>
  </si>
  <si>
    <t>There are 3 paths.  Determine which is longest for minimum critical time.
(Draw a diagram of the paths to identify minimum critical path, below.)</t>
  </si>
  <si>
    <t>Activity</t>
  </si>
  <si>
    <t>Preceded By</t>
  </si>
  <si>
    <t>Optimistic Time</t>
  </si>
  <si>
    <t>Expected Time</t>
  </si>
  <si>
    <t>Pessimistic Time</t>
  </si>
  <si>
    <t>Estimated Mean</t>
  </si>
  <si>
    <t>Estimated Standard Deviation</t>
  </si>
  <si>
    <t>Estimated Variance</t>
  </si>
  <si>
    <t>A</t>
  </si>
  <si>
    <t>None</t>
  </si>
  <si>
    <t>B</t>
  </si>
  <si>
    <t>C</t>
  </si>
  <si>
    <t>D</t>
  </si>
  <si>
    <t>E</t>
  </si>
  <si>
    <t>Critical paths:</t>
  </si>
  <si>
    <t>AD</t>
  </si>
  <si>
    <t>BE</t>
  </si>
  <si>
    <t>CF</t>
  </si>
  <si>
    <t>CPM = Critical Path Methodology</t>
  </si>
  <si>
    <t>PERT = Program Evaluation and Review Technique</t>
  </si>
  <si>
    <t>Std</t>
  </si>
  <si>
    <t>A and B</t>
  </si>
  <si>
    <t>There are 4 paths.  Draw diagram to determine which is longest for minimum critical time.</t>
  </si>
  <si>
    <t>AC</t>
  </si>
  <si>
    <t>BC</t>
  </si>
  <si>
    <t>BD</t>
  </si>
  <si>
    <t xml:space="preserve">Probability of being between 295 and 310 = </t>
  </si>
  <si>
    <t>EXPERIMENTAL DESIGN</t>
  </si>
  <si>
    <r>
      <t xml:space="preserve">Sample Question:  </t>
    </r>
    <r>
      <rPr>
        <b/>
        <i/>
        <u/>
        <sz val="10"/>
        <rFont val="Arial"/>
        <family val="2"/>
      </rPr>
      <t xml:space="preserve">Experimental Design
</t>
    </r>
    <r>
      <rPr>
        <sz val="10"/>
        <rFont val="Arial"/>
      </rPr>
      <t>Select all of the factors that affect the response.  You can conduct experiments using the information at right.  Using Experimental Design software, input the desired factor levels and click the "Compute Response" button to obtain a response.  When the  "Compute Response" button is clicked the levels of each factor along with the resulting value of the response variable will be placed in the spreadsheet.  This data can be copied to a statistical package for analysis.</t>
    </r>
  </si>
  <si>
    <t>Original Orthogonal Array (with levels from sample at right)</t>
  </si>
  <si>
    <t>Factor</t>
  </si>
  <si>
    <t>Trial</t>
  </si>
  <si>
    <t>Answer:  A &amp; B</t>
  </si>
  <si>
    <t>2-Way Interactions</t>
  </si>
  <si>
    <t>1+(2)(4)+(3)(5)+(6)(7)</t>
  </si>
  <si>
    <t>2+(1)(4)+(3)(6)+(5)(7)</t>
  </si>
  <si>
    <t>3+(1)(5)+(2)(6)+(4)(7)</t>
  </si>
  <si>
    <t>4+(1)(2)+(3)(7)+(5)(6)</t>
  </si>
  <si>
    <t>5+(1)(3)+(2)(7)+(4)(6)</t>
  </si>
  <si>
    <t>6+(1)(7)+(2)(3)+(4)(5)</t>
  </si>
  <si>
    <t>7+(1)(6)+(2)(5)+(3)(4)</t>
  </si>
  <si>
    <t>Result of original trial</t>
  </si>
  <si>
    <t>Dummy</t>
  </si>
  <si>
    <t>RR</t>
  </si>
  <si>
    <t>Regression output</t>
  </si>
  <si>
    <t>Lower 95.0%</t>
  </si>
  <si>
    <t>Upper 95.0%</t>
  </si>
  <si>
    <t>Layout of 2nd trial</t>
  </si>
  <si>
    <t>AB</t>
  </si>
  <si>
    <t>ABD</t>
  </si>
  <si>
    <t>Rerun?</t>
  </si>
  <si>
    <t>Yes</t>
  </si>
  <si>
    <t>For Full Factorial, take the significant factors from the original regression and create a new array that accounts for all possible interactions.</t>
  </si>
  <si>
    <t>2nd Regression output</t>
  </si>
  <si>
    <t>Full Factorial Noise Example</t>
  </si>
  <si>
    <t>Lube</t>
  </si>
  <si>
    <t>Shim</t>
  </si>
  <si>
    <t>Speed</t>
  </si>
  <si>
    <t>Percent Additive</t>
  </si>
  <si>
    <t>Jack Pressure</t>
  </si>
  <si>
    <t>Chemical X</t>
  </si>
  <si>
    <t>Chemical Z</t>
  </si>
  <si>
    <t>TRIAL</t>
  </si>
  <si>
    <t>Example shows pure noise.</t>
  </si>
  <si>
    <t xml:space="preserve">By measuring the difference between the highest &amp; </t>
  </si>
  <si>
    <t xml:space="preserve">lowest coefficients, the amount of movement in the </t>
  </si>
  <si>
    <t>responses are already greater than the effects of the</t>
  </si>
  <si>
    <t>factors and interactions.</t>
  </si>
  <si>
    <t xml:space="preserve">Conclusion in this case would be that either the </t>
  </si>
  <si>
    <t>process is already running at optimum or the wrong</t>
  </si>
  <si>
    <t>factors were selected as having the greatest impact.</t>
  </si>
  <si>
    <t>Object of this exercise: Maximize the response of the process.</t>
  </si>
  <si>
    <t xml:space="preserve">This is an example of either too much noise hiding the interactions of the factors or selcting the wrong factors. </t>
  </si>
  <si>
    <t xml:space="preserve">The result showed nothing less than 5% in our P-value in the regression analysis and the </t>
  </si>
  <si>
    <t>effects of changing the highest to lowest coefficient has less impact than the response of the effects and interactions.</t>
  </si>
  <si>
    <t>Design Of Experiment</t>
  </si>
  <si>
    <t xml:space="preserve">First step is to select the fully saturated array that allows for the inclusion of all factors </t>
  </si>
  <si>
    <t xml:space="preserve">being evaluated. (Use "Factorial Designs" template). Select the array that has at least </t>
  </si>
  <si>
    <t xml:space="preserve">one factor more than you are evaluating, eg, L8 for 7 or fewer factors, L16 for 15 or </t>
  </si>
  <si>
    <t>fewer factors, etc.</t>
  </si>
  <si>
    <t>After selecting array, you must determine what the high and low levels for experiment will be.</t>
  </si>
  <si>
    <t>(See screenshot below.)</t>
  </si>
  <si>
    <t>These values will later be converted to positive and negative 1 in your software to more easily</t>
  </si>
  <si>
    <t>calculate the significance of factors and interactions.</t>
  </si>
  <si>
    <t xml:space="preserve">Using Process Target Optimization software (below), input the high and low factors </t>
  </si>
  <si>
    <t>and compute the response for each according to the array layout.</t>
  </si>
  <si>
    <t>To establish a baseline for noise, repeat the trials that return the highest and lowest</t>
  </si>
  <si>
    <t>responses. (Trials 9 &amp; 10, below.)  The trials repeated in this example were trial 2 and trial 7.</t>
  </si>
  <si>
    <t>Confirm you enter data into array correctly by adding each column. Results should equal zero.</t>
  </si>
  <si>
    <t>G</t>
  </si>
  <si>
    <t>Taking the responses (at left) after rerunning high &amp; low trials, perform regression analysis</t>
  </si>
  <si>
    <t>RR Trial 4</t>
  </si>
  <si>
    <r>
      <t xml:space="preserve">using Data Analysis under Excel </t>
    </r>
    <r>
      <rPr>
        <u/>
        <sz val="10"/>
        <rFont val="Arial"/>
        <family val="2"/>
      </rPr>
      <t>T</t>
    </r>
    <r>
      <rPr>
        <sz val="10"/>
        <rFont val="Arial"/>
      </rPr>
      <t>ools.</t>
    </r>
  </si>
  <si>
    <t>RR Trial 5</t>
  </si>
  <si>
    <r>
      <t xml:space="preserve">Click </t>
    </r>
    <r>
      <rPr>
        <u/>
        <sz val="10"/>
        <rFont val="Arial"/>
        <family val="2"/>
      </rPr>
      <t>T</t>
    </r>
    <r>
      <rPr>
        <sz val="10"/>
        <rFont val="Arial"/>
      </rPr>
      <t xml:space="preserve">ools, select </t>
    </r>
    <r>
      <rPr>
        <u/>
        <sz val="10"/>
        <rFont val="Arial"/>
        <family val="2"/>
      </rPr>
      <t>D</t>
    </r>
    <r>
      <rPr>
        <sz val="10"/>
        <rFont val="Arial"/>
      </rPr>
      <t xml:space="preserve">ata Analysis, </t>
    </r>
    <r>
      <rPr>
        <sz val="10"/>
        <rFont val="Arial"/>
        <family val="2"/>
      </rPr>
      <t>R</t>
    </r>
    <r>
      <rPr>
        <sz val="10"/>
        <rFont val="Arial"/>
      </rPr>
      <t>egression, select "Response" column data for Input Y Range data.</t>
    </r>
  </si>
  <si>
    <t>Select all Factor column data (A - F) for Input X Range data.  Select open cell to the right of the data</t>
  </si>
  <si>
    <t>for the regression to be presented.</t>
  </si>
  <si>
    <t>To begin screening process, once regression summary output is returned, convert</t>
  </si>
  <si>
    <t>P-values to percentages (except for Intercept value).</t>
  </si>
  <si>
    <t>Any value that returns 5% or less is significant and must be evaluated further.</t>
  </si>
  <si>
    <t>In this example, factors A, C &amp; E or their interactions show significance.</t>
  </si>
  <si>
    <t xml:space="preserve">In case of this example we must look at the coefficients to </t>
  </si>
  <si>
    <t>deterimine the 2 factors or interactions that have the most significance.</t>
  </si>
  <si>
    <t>To separate the interactions, run a full factorial for the 3 interacting factors.</t>
  </si>
  <si>
    <t xml:space="preserve">To run full factorial, first look at your experiments to see which need to be replicated </t>
  </si>
  <si>
    <t>and which you already have.  To  begin, create matrix layout similar to example</t>
  </si>
  <si>
    <t>below.  Then add the summ of each column, result should equal zero.</t>
  </si>
  <si>
    <t>Next, looking at original array (above), take the settings for each factor</t>
  </si>
  <si>
    <t>and level, for our 1st trial, settings for factors A, C &amp; E were A=low, C=low,</t>
  </si>
  <si>
    <t xml:space="preserve">E=high.  In the array below, Trial 2 provides this replication so we insert the </t>
  </si>
  <si>
    <t>result from trial 2 into our response column for this trial.</t>
  </si>
  <si>
    <t>Rerun trial</t>
  </si>
  <si>
    <t>AE</t>
  </si>
  <si>
    <t>CE</t>
  </si>
  <si>
    <t>ACE</t>
  </si>
  <si>
    <t>If P-Value is less than 5%, Factor is significant.</t>
  </si>
  <si>
    <t>5 - 10%, Include factor but increase sample size.</t>
  </si>
  <si>
    <t>&gt; 10%, Factor insignificant.</t>
  </si>
  <si>
    <t>Add 4th test, choosing highest or lowest response to confirm data accuracy.</t>
  </si>
  <si>
    <t>Add 5th test, choosing highest or lowest response to confirm data accuracy.</t>
  </si>
  <si>
    <t>Original Trial</t>
  </si>
  <si>
    <t>When replicating test for screening, always choose a high or low response,</t>
  </si>
  <si>
    <t>preferably the high response variable since it will demonstrate the effect.</t>
  </si>
  <si>
    <t>RR Trial X</t>
  </si>
  <si>
    <t>Full Factorial Replication</t>
  </si>
  <si>
    <t>trial 4</t>
  </si>
  <si>
    <t>trial 3</t>
  </si>
  <si>
    <t>DUMMY</t>
  </si>
  <si>
    <t>3 repeat</t>
  </si>
  <si>
    <t>4 repeat</t>
  </si>
  <si>
    <t>BF</t>
  </si>
  <si>
    <t>BCF</t>
  </si>
  <si>
    <t>Repeat 4</t>
  </si>
  <si>
    <t>Repeat 5</t>
  </si>
  <si>
    <t>Screening Example - Noise</t>
  </si>
  <si>
    <t>Means there is a lot of noise in your system… so what you would do is (replicate or) increase sample size.</t>
  </si>
  <si>
    <t>Look at how you are running things and recording the data….reduce the noise.</t>
  </si>
  <si>
    <t>Type SIMPLEX in all caps to eliminate the noise.</t>
  </si>
  <si>
    <t>Screening Example - Interactions, Full Factorial</t>
  </si>
  <si>
    <t xml:space="preserve">Result of this trial shows significant interaction between factors D, E &amp;F. </t>
  </si>
  <si>
    <t>Next step is to determine the significance of the interactions.</t>
  </si>
  <si>
    <t xml:space="preserve">Purpose of this run is to determine most significant factors. The significance is equal to the </t>
  </si>
  <si>
    <t>Type I error; the chance that at least one factor will appear to be significant when it is not.</t>
  </si>
  <si>
    <t>and which you already have.</t>
  </si>
  <si>
    <t>In this example, trials 1, 4, 6 &amp; 7 had to be repeated.  Simply plug in the response from</t>
  </si>
  <si>
    <t>previous runs to complete matrix for rerunning regression.</t>
  </si>
  <si>
    <t>Set the insignificant factors at the easiest, cheapest settings. (Lowest or zero)</t>
  </si>
  <si>
    <t>P-Value is Type I error.</t>
  </si>
  <si>
    <t>Use positive &amp; negative 1 to vary the factors in the experiment.</t>
  </si>
  <si>
    <t>Result of this trial - Factors A &amp; E and their interactions prove</t>
  </si>
  <si>
    <t xml:space="preserve">to be the most significant. This was proven by </t>
  </si>
  <si>
    <t>Screening Example - Full Factorial</t>
  </si>
  <si>
    <t>Rerun Trial</t>
  </si>
  <si>
    <t>DE</t>
  </si>
  <si>
    <t>DF</t>
  </si>
  <si>
    <t>EF</t>
  </si>
  <si>
    <t>DEF</t>
  </si>
  <si>
    <t>Need to run experiment</t>
  </si>
  <si>
    <t>To run full factorial, first look at your experiments to see which need to be</t>
  </si>
  <si>
    <t>replicated and which you already have.</t>
  </si>
  <si>
    <t>Set the insignificant factors at the easiest, cheapest settings. (Lowest)</t>
  </si>
  <si>
    <t>Screening Example - Dummy Factors</t>
  </si>
  <si>
    <t xml:space="preserve">Purpose of this exercise is to show how we </t>
  </si>
  <si>
    <t>need to use ALL factors for our experiments</t>
  </si>
  <si>
    <t>to show the effects of different interactions.</t>
  </si>
  <si>
    <t>Always use fully saturated experiments</t>
  </si>
  <si>
    <t>(on the Factorial spreadsheet). These include</t>
  </si>
  <si>
    <t>3 factor, 7 factor, 31 factor to 255 factor.</t>
  </si>
  <si>
    <t xml:space="preserve">Always use an experiment that has enough </t>
  </si>
  <si>
    <t>factors to cover the number you are interested</t>
  </si>
  <si>
    <t xml:space="preserve">with.  You create dummy files for any empty </t>
  </si>
  <si>
    <t>factors to simulate and estimate the effects of</t>
  </si>
  <si>
    <t xml:space="preserve">the interactions that would normally be </t>
  </si>
  <si>
    <t>contained in the missing files.</t>
  </si>
  <si>
    <t>SIMPLEX Example</t>
  </si>
  <si>
    <t>Collapse of Simplex. Shape should be similar to triangle. If it collapses it will look more like a straight line.</t>
  </si>
  <si>
    <t>Always set up a right triangle.</t>
  </si>
  <si>
    <t>All values except 1 should be the same in each column.</t>
  </si>
  <si>
    <t>Pressure</t>
  </si>
  <si>
    <t>Temp</t>
  </si>
  <si>
    <t>Defining the Initial Simplex.</t>
  </si>
  <si>
    <t>Factors/Levels</t>
  </si>
  <si>
    <t>To define the initial simplex, select points within the parameters (-50, 50)</t>
  </si>
  <si>
    <t xml:space="preserve">to create a triangle, then using EVOPtimizer software, enter the number of </t>
  </si>
  <si>
    <t xml:space="preserve">factors as 2, define the factors by inputting their names, in this case factors </t>
  </si>
  <si>
    <t xml:space="preserve">A &amp; E, then input their lower limit and upper limits (-50, 50), allow 4 significant </t>
  </si>
  <si>
    <t>digits, click Apply Changes.</t>
  </si>
  <si>
    <t>Next, define the Initial Simplex by clicking "Define Initial Simplex" and entering</t>
  </si>
  <si>
    <t xml:space="preserve">the values that create your initial simplex triangle. In this case, zero and 15. </t>
  </si>
  <si>
    <t>Next, go to Process Target Optimization software (Exam Study Guide) and set</t>
  </si>
  <si>
    <t>all nonsignificant values to zero. Then input either 0 or 15 for your two significant</t>
  </si>
  <si>
    <t xml:space="preserve">values and copy the results into the result spaces in the Intial Simplex </t>
  </si>
  <si>
    <t xml:space="preserve">template.  Click "Continue", then click "Begin Optimization.  This is the </t>
  </si>
  <si>
    <t>time consuming part of the analysis.  Taking the levels for the factors given,</t>
  </si>
  <si>
    <t>plug them into their appropriate spot in your Process Target Optimization</t>
  </si>
  <si>
    <t xml:space="preserve">software and click "Compute Response". Take the response and plug it into </t>
  </si>
  <si>
    <t>the "Result" in your EVOP software under "Evaluate the Reflection".</t>
  </si>
  <si>
    <t xml:space="preserve">Click "Next Step", take the values and repeat. Continue until you show positive </t>
  </si>
  <si>
    <t>trend, minimum 12 trials. Taking the highest response from Process</t>
  </si>
  <si>
    <t xml:space="preserve">Target Optimization software, plug the values for each of the factor levels </t>
  </si>
  <si>
    <t>their corresponding cells and click "Check Answer" to confirm your answer.</t>
  </si>
  <si>
    <t>One Factor At a Time is usefuk only if you're looking at a single factor.</t>
  </si>
  <si>
    <t>Evolutionary Operation (EVOP) doesn't try to estimate the response. It gives you the optimum response.</t>
  </si>
  <si>
    <t>CD</t>
  </si>
  <si>
    <t>CG</t>
  </si>
  <si>
    <t>DG</t>
  </si>
  <si>
    <t>CDG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</si>
</sst>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6">
    <numFmt numFmtId="164" formatCode="0.00000"/>
    <numFmt numFmtId="165" formatCode="0.000000"/>
    <numFmt numFmtId="166" formatCode="0.0%"/>
    <numFmt numFmtId="167" formatCode="_(* #,##0.00_);_(* \(#,##0.00\);_(* \-??_);_(@_)"/>
    <numFmt numFmtId="168" formatCode="0.0000"/>
    <numFmt numFmtId="169" formatCode="0.0000000"/>
    <numFmt numFmtId="170" formatCode="0.0"/>
    <numFmt numFmtId="171" formatCode="0.0000000000000"/>
    <numFmt numFmtId="172" formatCode="0.000"/>
    <numFmt numFmtId="173" formatCode="0.000%"/>
    <numFmt numFmtId="174" formatCode="0.000000E+00"/>
    <numFmt numFmtId="175" formatCode="\$#,##0.00"/>
    <numFmt numFmtId="176" formatCode="\$#,##0.000"/>
    <numFmt numFmtId="177" formatCode="\$#,##0.00_);[Red]&quot;($&quot;#,##0.00\)"/>
    <numFmt numFmtId="178" formatCode="0.0000%"/>
    <numFmt numFmtId="179" formatCode="0.00000%"/>
  </numFmts>
  <fonts count="52" x14ac:knownFonts="1">
    <font>
      <sz val="10"/>
      <name val="Arial"/>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2"/>
      <name val="Arial"/>
    </font>
    <font>
      <b/>
      <sz val="11"/>
      <color indexed="63"/>
      <name val="Calibri"/>
      <family val="2"/>
    </font>
    <font>
      <b/>
      <sz val="18"/>
      <color indexed="56"/>
      <name val="Cambria"/>
      <family val="2"/>
    </font>
    <font>
      <b/>
      <sz val="11"/>
      <color indexed="8"/>
      <name val="Calibri"/>
      <family val="2"/>
    </font>
    <font>
      <sz val="11"/>
      <color indexed="10"/>
      <name val="Calibri"/>
      <family val="2"/>
    </font>
    <font>
      <sz val="14"/>
      <name val="Arial"/>
    </font>
    <font>
      <b/>
      <sz val="10"/>
      <name val="Arial"/>
      <family val="2"/>
    </font>
    <font>
      <b/>
      <sz val="12"/>
      <name val="Arial"/>
      <family val="2"/>
    </font>
    <font>
      <b/>
      <sz val="14"/>
      <name val="Arial"/>
      <family val="2"/>
    </font>
    <font>
      <sz val="10"/>
      <color indexed="8"/>
      <name val="Arial"/>
      <family val="2"/>
    </font>
    <font>
      <sz val="10"/>
      <name val="Arial"/>
      <family val="2"/>
    </font>
    <font>
      <b/>
      <sz val="22"/>
      <name val="Arial"/>
      <family val="2"/>
    </font>
    <font>
      <b/>
      <u/>
      <sz val="22"/>
      <name val="Arial"/>
      <family val="2"/>
    </font>
    <font>
      <sz val="12"/>
      <name val="Times New Roman"/>
      <family val="1"/>
    </font>
    <font>
      <b/>
      <sz val="12"/>
      <color indexed="8"/>
      <name val="Times New Roman"/>
      <family val="1"/>
    </font>
    <font>
      <b/>
      <sz val="10"/>
      <name val="Arial"/>
    </font>
    <font>
      <b/>
      <u/>
      <sz val="10"/>
      <name val="Arial"/>
      <family val="2"/>
    </font>
    <font>
      <b/>
      <sz val="10"/>
      <color indexed="8"/>
      <name val="Arial"/>
      <family val="2"/>
    </font>
    <font>
      <i/>
      <sz val="10"/>
      <name val="Arial"/>
      <family val="2"/>
    </font>
    <font>
      <u/>
      <sz val="10"/>
      <name val="Arial"/>
      <family val="2"/>
    </font>
    <font>
      <i/>
      <sz val="10"/>
      <name val="Arial"/>
    </font>
    <font>
      <b/>
      <u/>
      <sz val="14"/>
      <name val="Arial"/>
      <family val="2"/>
    </font>
    <font>
      <b/>
      <i/>
      <sz val="12"/>
      <name val="Times New Roman"/>
      <family val="1"/>
    </font>
    <font>
      <b/>
      <sz val="12"/>
      <name val="Times New Roman"/>
      <family val="1"/>
    </font>
    <font>
      <b/>
      <vertAlign val="subscript"/>
      <sz val="12"/>
      <name val="Times New Roman"/>
      <family val="1"/>
    </font>
    <font>
      <b/>
      <sz val="18"/>
      <name val="Arial"/>
      <family val="2"/>
    </font>
    <font>
      <sz val="12"/>
      <color indexed="8"/>
      <name val="Times New Roman"/>
      <family val="1"/>
    </font>
    <font>
      <b/>
      <i/>
      <sz val="24"/>
      <color indexed="12"/>
      <name val="Arial"/>
    </font>
    <font>
      <b/>
      <sz val="16"/>
      <name val="Arial"/>
      <family val="2"/>
    </font>
    <font>
      <b/>
      <i/>
      <sz val="16"/>
      <name val="Arial"/>
    </font>
    <font>
      <sz val="9"/>
      <name val="Arial"/>
    </font>
    <font>
      <b/>
      <i/>
      <u/>
      <sz val="14"/>
      <name val="Arial"/>
      <family val="2"/>
    </font>
    <font>
      <sz val="14"/>
      <name val="Arial"/>
      <family val="2"/>
    </font>
    <font>
      <b/>
      <i/>
      <u/>
      <sz val="10"/>
      <name val="Arial"/>
      <family val="2"/>
    </font>
    <font>
      <b/>
      <sz val="14"/>
      <name val="Arial"/>
    </font>
    <font>
      <u/>
      <sz val="10"/>
      <name val="Arial"/>
    </font>
    <font>
      <b/>
      <u/>
      <sz val="10"/>
      <name val="Arial"/>
    </font>
    <font>
      <sz val="10"/>
      <name val="Arial"/>
    </font>
  </fonts>
  <fills count="27">
    <fill>
      <patternFill patternType="none"/>
    </fill>
    <fill>
      <patternFill patternType="gray125"/>
    </fill>
    <fill>
      <patternFill patternType="solid">
        <fgColor indexed="31"/>
        <bgColor indexed="22"/>
      </patternFill>
    </fill>
    <fill>
      <patternFill patternType="solid">
        <fgColor indexed="45"/>
        <bgColor indexed="29"/>
      </patternFill>
    </fill>
    <fill>
      <patternFill patternType="solid">
        <fgColor indexed="42"/>
        <bgColor indexed="27"/>
      </patternFill>
    </fill>
    <fill>
      <patternFill patternType="solid">
        <fgColor indexed="46"/>
        <bgColor indexed="24"/>
      </patternFill>
    </fill>
    <fill>
      <patternFill patternType="solid">
        <fgColor indexed="27"/>
        <bgColor indexed="41"/>
      </patternFill>
    </fill>
    <fill>
      <patternFill patternType="solid">
        <fgColor indexed="47"/>
        <bgColor indexed="22"/>
      </patternFill>
    </fill>
    <fill>
      <patternFill patternType="solid">
        <fgColor indexed="44"/>
        <bgColor indexed="31"/>
      </patternFill>
    </fill>
    <fill>
      <patternFill patternType="solid">
        <fgColor indexed="29"/>
        <bgColor indexed="45"/>
      </patternFill>
    </fill>
    <fill>
      <patternFill patternType="solid">
        <fgColor indexed="11"/>
        <bgColor indexed="49"/>
      </patternFill>
    </fill>
    <fill>
      <patternFill patternType="solid">
        <fgColor indexed="51"/>
        <bgColor indexed="13"/>
      </patternFill>
    </fill>
    <fill>
      <patternFill patternType="solid">
        <fgColor indexed="30"/>
        <bgColor indexed="21"/>
      </patternFill>
    </fill>
    <fill>
      <patternFill patternType="solid">
        <fgColor indexed="20"/>
        <bgColor indexed="36"/>
      </patternFill>
    </fill>
    <fill>
      <patternFill patternType="solid">
        <fgColor indexed="49"/>
        <bgColor indexed="40"/>
      </patternFill>
    </fill>
    <fill>
      <patternFill patternType="solid">
        <fgColor indexed="52"/>
        <bgColor indexed="51"/>
      </patternFill>
    </fill>
    <fill>
      <patternFill patternType="solid">
        <fgColor indexed="62"/>
        <bgColor indexed="56"/>
      </patternFill>
    </fill>
    <fill>
      <patternFill patternType="solid">
        <fgColor indexed="10"/>
        <bgColor indexed="60"/>
      </patternFill>
    </fill>
    <fill>
      <patternFill patternType="solid">
        <fgColor indexed="57"/>
        <bgColor indexed="21"/>
      </patternFill>
    </fill>
    <fill>
      <patternFill patternType="solid">
        <fgColor indexed="53"/>
        <bgColor indexed="52"/>
      </patternFill>
    </fill>
    <fill>
      <patternFill patternType="solid">
        <fgColor indexed="22"/>
        <bgColor indexed="31"/>
      </patternFill>
    </fill>
    <fill>
      <patternFill patternType="solid">
        <fgColor indexed="55"/>
        <bgColor indexed="23"/>
      </patternFill>
    </fill>
    <fill>
      <patternFill patternType="solid">
        <fgColor indexed="43"/>
        <bgColor indexed="26"/>
      </patternFill>
    </fill>
    <fill>
      <patternFill patternType="solid">
        <fgColor indexed="26"/>
        <bgColor indexed="9"/>
      </patternFill>
    </fill>
    <fill>
      <patternFill patternType="solid">
        <fgColor indexed="9"/>
        <bgColor indexed="26"/>
      </patternFill>
    </fill>
    <fill>
      <patternFill patternType="solid">
        <fgColor indexed="13"/>
        <bgColor indexed="34"/>
      </patternFill>
    </fill>
    <fill>
      <patternFill patternType="solid">
        <fgColor indexed="50"/>
        <bgColor indexed="51"/>
      </patternFill>
    </fill>
  </fills>
  <borders count="55">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8"/>
      </left>
      <right style="thin">
        <color indexed="8"/>
      </right>
      <top style="thin">
        <color indexed="8"/>
      </top>
      <bottom style="thin">
        <color indexed="8"/>
      </bottom>
      <diagonal/>
    </border>
    <border>
      <left style="thin">
        <color indexed="8"/>
      </left>
      <right style="thin">
        <color indexed="8"/>
      </right>
      <top/>
      <bottom/>
      <diagonal/>
    </border>
    <border>
      <left style="medium">
        <color indexed="8"/>
      </left>
      <right style="medium">
        <color indexed="8"/>
      </right>
      <top style="medium">
        <color indexed="8"/>
      </top>
      <bottom style="medium">
        <color indexed="8"/>
      </bottom>
      <diagonal/>
    </border>
    <border>
      <left/>
      <right/>
      <top/>
      <bottom style="thin">
        <color indexed="8"/>
      </bottom>
      <diagonal/>
    </border>
    <border>
      <left style="thin">
        <color indexed="8"/>
      </left>
      <right style="thin">
        <color indexed="8"/>
      </right>
      <top/>
      <bottom style="thin">
        <color indexed="8"/>
      </bottom>
      <diagonal/>
    </border>
    <border>
      <left style="medium">
        <color indexed="8"/>
      </left>
      <right style="medium">
        <color indexed="8"/>
      </right>
      <top style="medium">
        <color indexed="8"/>
      </top>
      <bottom/>
      <diagonal/>
    </border>
    <border>
      <left style="medium">
        <color indexed="8"/>
      </left>
      <right style="medium">
        <color indexed="8"/>
      </right>
      <top/>
      <bottom style="medium">
        <color indexed="8"/>
      </bottom>
      <diagonal/>
    </border>
    <border>
      <left style="medium">
        <color indexed="8"/>
      </left>
      <right/>
      <top style="medium">
        <color indexed="8"/>
      </top>
      <bottom/>
      <diagonal/>
    </border>
    <border>
      <left/>
      <right style="medium">
        <color indexed="8"/>
      </right>
      <top style="medium">
        <color indexed="8"/>
      </top>
      <bottom/>
      <diagonal/>
    </border>
    <border>
      <left style="medium">
        <color indexed="8"/>
      </left>
      <right/>
      <top/>
      <bottom/>
      <diagonal/>
    </border>
    <border>
      <left/>
      <right style="medium">
        <color indexed="8"/>
      </right>
      <top/>
      <bottom/>
      <diagonal/>
    </border>
    <border>
      <left style="medium">
        <color indexed="8"/>
      </left>
      <right/>
      <top/>
      <bottom style="medium">
        <color indexed="8"/>
      </bottom>
      <diagonal/>
    </border>
    <border>
      <left/>
      <right style="medium">
        <color indexed="8"/>
      </right>
      <top/>
      <bottom style="medium">
        <color indexed="8"/>
      </bottom>
      <diagonal/>
    </border>
    <border>
      <left style="thin">
        <color indexed="8"/>
      </left>
      <right/>
      <top style="thin">
        <color indexed="8"/>
      </top>
      <bottom style="thin">
        <color indexed="8"/>
      </bottom>
      <diagonal/>
    </border>
    <border>
      <left/>
      <right/>
      <top/>
      <bottom style="medium">
        <color indexed="8"/>
      </bottom>
      <diagonal/>
    </border>
    <border>
      <left style="thin">
        <color indexed="8"/>
      </left>
      <right style="thin">
        <color indexed="8"/>
      </right>
      <top style="thin">
        <color indexed="8"/>
      </top>
      <bottom style="medium">
        <color indexed="8"/>
      </bottom>
      <diagonal/>
    </border>
    <border>
      <left/>
      <right/>
      <top style="medium">
        <color indexed="8"/>
      </top>
      <bottom/>
      <diagonal/>
    </border>
    <border>
      <left style="thin">
        <color indexed="8"/>
      </left>
      <right style="thin">
        <color indexed="8"/>
      </right>
      <top style="thin">
        <color indexed="8"/>
      </top>
      <bottom/>
      <diagonal/>
    </border>
    <border>
      <left/>
      <right/>
      <top style="medium">
        <color indexed="8"/>
      </top>
      <bottom style="thin">
        <color indexed="8"/>
      </bottom>
      <diagonal/>
    </border>
    <border>
      <left style="thin">
        <color indexed="8"/>
      </left>
      <right/>
      <top/>
      <bottom/>
      <diagonal/>
    </border>
    <border>
      <left/>
      <right style="thin">
        <color indexed="8"/>
      </right>
      <top/>
      <bottom/>
      <diagonal/>
    </border>
    <border>
      <left/>
      <right/>
      <top style="thick">
        <color indexed="8"/>
      </top>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right/>
      <top style="thick">
        <color indexed="8"/>
      </top>
      <bottom style="thick">
        <color indexed="8"/>
      </bottom>
      <diagonal/>
    </border>
    <border>
      <left style="medium">
        <color indexed="8"/>
      </left>
      <right style="thin">
        <color indexed="8"/>
      </right>
      <top style="thin">
        <color indexed="8"/>
      </top>
      <bottom style="thin">
        <color indexed="8"/>
      </bottom>
      <diagonal/>
    </border>
    <border>
      <left style="thin">
        <color indexed="8"/>
      </left>
      <right style="medium">
        <color indexed="8"/>
      </right>
      <top style="thin">
        <color indexed="8"/>
      </top>
      <bottom style="thin">
        <color indexed="8"/>
      </bottom>
      <diagonal/>
    </border>
    <border>
      <left/>
      <right style="thin">
        <color indexed="8"/>
      </right>
      <top style="thin">
        <color indexed="8"/>
      </top>
      <bottom style="thin">
        <color indexed="8"/>
      </bottom>
      <diagonal/>
    </border>
    <border>
      <left style="medium">
        <color indexed="8"/>
      </left>
      <right style="thin">
        <color indexed="8"/>
      </right>
      <top style="thin">
        <color indexed="8"/>
      </top>
      <bottom style="medium">
        <color indexed="8"/>
      </bottom>
      <diagonal/>
    </border>
    <border>
      <left style="thin">
        <color indexed="8"/>
      </left>
      <right style="medium">
        <color indexed="8"/>
      </right>
      <top style="thin">
        <color indexed="8"/>
      </top>
      <bottom style="medium">
        <color indexed="8"/>
      </bottom>
      <diagonal/>
    </border>
    <border>
      <left style="medium">
        <color indexed="8"/>
      </left>
      <right style="medium">
        <color indexed="8"/>
      </right>
      <top style="medium">
        <color indexed="8"/>
      </top>
      <bottom style="thin">
        <color indexed="8"/>
      </bottom>
      <diagonal/>
    </border>
    <border>
      <left style="medium">
        <color indexed="8"/>
      </left>
      <right style="medium">
        <color indexed="8"/>
      </right>
      <top style="thin">
        <color indexed="8"/>
      </top>
      <bottom style="thin">
        <color indexed="8"/>
      </bottom>
      <diagonal/>
    </border>
    <border>
      <left/>
      <right/>
      <top style="thin">
        <color indexed="8"/>
      </top>
      <bottom style="thin">
        <color indexed="8"/>
      </bottom>
      <diagonal/>
    </border>
    <border>
      <left style="medium">
        <color indexed="8"/>
      </left>
      <right style="medium">
        <color indexed="8"/>
      </right>
      <top style="thin">
        <color indexed="8"/>
      </top>
      <bottom style="medium">
        <color indexed="8"/>
      </bottom>
      <diagonal/>
    </border>
    <border>
      <left/>
      <right/>
      <top/>
      <bottom style="double">
        <color indexed="8"/>
      </bottom>
      <diagonal/>
    </border>
    <border>
      <left/>
      <right/>
      <top style="thin">
        <color indexed="8"/>
      </top>
      <bottom/>
      <diagonal/>
    </border>
    <border>
      <left/>
      <right style="thin">
        <color indexed="8"/>
      </right>
      <top/>
      <bottom style="thin">
        <color indexed="8"/>
      </bottom>
      <diagonal/>
    </border>
    <border>
      <left style="medium">
        <color indexed="8"/>
      </left>
      <right style="medium">
        <color indexed="8"/>
      </right>
      <top/>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diagonal/>
    </border>
    <border>
      <left style="medium">
        <color indexed="8"/>
      </left>
      <right/>
      <top/>
      <bottom style="thin">
        <color indexed="8"/>
      </bottom>
      <diagonal/>
    </border>
  </borders>
  <cellStyleXfs count="46">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9" borderId="0" applyNumberFormat="0" applyBorder="0" applyAlignment="0" applyProtection="0"/>
    <xf numFmtId="0" fontId="3" fillId="3" borderId="0" applyNumberFormat="0" applyBorder="0" applyAlignment="0" applyProtection="0"/>
    <xf numFmtId="0" fontId="4" fillId="20" borderId="1" applyNumberFormat="0" applyAlignment="0" applyProtection="0"/>
    <xf numFmtId="0" fontId="5" fillId="21" borderId="2" applyNumberFormat="0" applyAlignment="0" applyProtection="0"/>
    <xf numFmtId="167" fontId="51" fillId="0" borderId="0" applyFill="0" applyBorder="0" applyAlignment="0" applyProtection="0"/>
    <xf numFmtId="0" fontId="6" fillId="0" borderId="0" applyNumberFormat="0" applyFill="0" applyBorder="0" applyAlignment="0" applyProtection="0"/>
    <xf numFmtId="0" fontId="7" fillId="4"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7" borderId="1" applyNumberFormat="0" applyAlignment="0" applyProtection="0"/>
    <xf numFmtId="0" fontId="12" fillId="0" borderId="6" applyNumberFormat="0" applyFill="0" applyAlignment="0" applyProtection="0"/>
    <xf numFmtId="0" fontId="13" fillId="22" borderId="0" applyNumberFormat="0" applyBorder="0" applyAlignment="0" applyProtection="0"/>
    <xf numFmtId="0" fontId="14" fillId="0" borderId="0"/>
    <xf numFmtId="0" fontId="14" fillId="0" borderId="0"/>
    <xf numFmtId="0" fontId="51" fillId="23" borderId="7" applyNumberFormat="0" applyAlignment="0" applyProtection="0"/>
    <xf numFmtId="0" fontId="15" fillId="20" borderId="8" applyNumberFormat="0" applyAlignment="0" applyProtection="0"/>
    <xf numFmtId="9" fontId="51" fillId="0" borderId="0" applyFill="0" applyBorder="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cellStyleXfs>
  <cellXfs count="428">
    <xf numFmtId="0" fontId="0" fillId="0" borderId="0" xfId="0"/>
    <xf numFmtId="0" fontId="0" fillId="22" borderId="10" xfId="0" applyFill="1" applyBorder="1" applyAlignment="1">
      <alignment horizontal="center"/>
    </xf>
    <xf numFmtId="0" fontId="20" fillId="4" borderId="10" xfId="0" applyFont="1" applyFill="1" applyBorder="1" applyAlignment="1">
      <alignment horizontal="center"/>
    </xf>
    <xf numFmtId="0" fontId="0" fillId="0" borderId="0" xfId="0" applyAlignment="1">
      <alignment wrapText="1"/>
    </xf>
    <xf numFmtId="0" fontId="0" fillId="8" borderId="10" xfId="0" applyFill="1" applyBorder="1" applyAlignment="1">
      <alignment horizontal="center"/>
    </xf>
    <xf numFmtId="0" fontId="0" fillId="24" borderId="0" xfId="0" applyFill="1"/>
    <xf numFmtId="0" fontId="21" fillId="0" borderId="0" xfId="0" applyFont="1" applyAlignment="1">
      <alignment horizontal="right"/>
    </xf>
    <xf numFmtId="0" fontId="0" fillId="0" borderId="10" xfId="0" applyBorder="1" applyAlignment="1">
      <alignment horizontal="right"/>
    </xf>
    <xf numFmtId="0" fontId="0" fillId="22" borderId="10" xfId="0" applyFill="1" applyBorder="1" applyAlignment="1">
      <alignment horizontal="left"/>
    </xf>
    <xf numFmtId="0" fontId="0" fillId="24" borderId="0" xfId="0" applyFill="1" applyAlignment="1">
      <alignment horizontal="left"/>
    </xf>
    <xf numFmtId="0" fontId="20" fillId="0" borderId="10" xfId="0" applyFont="1" applyBorder="1" applyAlignment="1">
      <alignment horizontal="right"/>
    </xf>
    <xf numFmtId="0" fontId="20" fillId="4" borderId="10" xfId="0" applyFont="1" applyFill="1" applyBorder="1"/>
    <xf numFmtId="0" fontId="20" fillId="24" borderId="0" xfId="0" applyFont="1" applyFill="1"/>
    <xf numFmtId="0" fontId="20" fillId="3" borderId="11" xfId="0" applyFont="1" applyFill="1" applyBorder="1" applyAlignment="1">
      <alignment horizontal="left"/>
    </xf>
    <xf numFmtId="0" fontId="20" fillId="0" borderId="0" xfId="0" applyFont="1" applyAlignment="1">
      <alignment horizontal="right"/>
    </xf>
    <xf numFmtId="0" fontId="20" fillId="4" borderId="12" xfId="0" applyFont="1" applyFill="1" applyBorder="1" applyAlignment="1">
      <alignment horizontal="center" wrapText="1"/>
    </xf>
    <xf numFmtId="0" fontId="0" fillId="0" borderId="0" xfId="0" applyAlignment="1">
      <alignment horizontal="right"/>
    </xf>
    <xf numFmtId="164" fontId="0" fillId="0" borderId="0" xfId="42" applyNumberFormat="1" applyFont="1" applyFill="1" applyBorder="1" applyAlignment="1" applyProtection="1"/>
    <xf numFmtId="0" fontId="20" fillId="4" borderId="10" xfId="0" applyFont="1" applyFill="1" applyBorder="1" applyAlignment="1">
      <alignment horizontal="left"/>
    </xf>
    <xf numFmtId="0" fontId="0" fillId="8" borderId="0" xfId="0" applyFill="1"/>
    <xf numFmtId="164" fontId="0" fillId="0" borderId="0" xfId="0" applyNumberFormat="1"/>
    <xf numFmtId="165" fontId="20" fillId="4" borderId="10" xfId="0" applyNumberFormat="1" applyFont="1" applyFill="1" applyBorder="1" applyAlignment="1">
      <alignment horizontal="left"/>
    </xf>
    <xf numFmtId="0" fontId="20" fillId="0" borderId="0" xfId="0" applyFont="1" applyAlignment="1">
      <alignment horizontal="left"/>
    </xf>
    <xf numFmtId="0" fontId="20" fillId="0" borderId="0" xfId="0" applyFont="1"/>
    <xf numFmtId="165" fontId="20" fillId="4" borderId="10" xfId="0" applyNumberFormat="1" applyFont="1" applyFill="1" applyBorder="1"/>
    <xf numFmtId="0" fontId="0" fillId="0" borderId="0" xfId="0" applyAlignment="1">
      <alignment horizontal="left"/>
    </xf>
    <xf numFmtId="0" fontId="22" fillId="0" borderId="10" xfId="0" applyFont="1" applyBorder="1" applyAlignment="1">
      <alignment horizontal="center" vertical="center" wrapText="1"/>
    </xf>
    <xf numFmtId="0" fontId="20" fillId="0" borderId="10" xfId="0" applyFont="1" applyBorder="1" applyAlignment="1">
      <alignment horizontal="center" vertical="center" wrapText="1"/>
    </xf>
    <xf numFmtId="0" fontId="0" fillId="8" borderId="0" xfId="0" applyFill="1" applyAlignment="1">
      <alignment horizontal="left"/>
    </xf>
    <xf numFmtId="0" fontId="0" fillId="0" borderId="10" xfId="0" applyBorder="1" applyAlignment="1">
      <alignment horizontal="center"/>
    </xf>
    <xf numFmtId="0" fontId="0" fillId="4" borderId="10" xfId="0" applyFill="1" applyBorder="1" applyAlignment="1">
      <alignment horizontal="center"/>
    </xf>
    <xf numFmtId="0" fontId="20" fillId="0" borderId="0" xfId="0" applyFont="1" applyAlignment="1">
      <alignment horizontal="center"/>
    </xf>
    <xf numFmtId="0" fontId="0" fillId="0" borderId="0" xfId="0" applyAlignment="1">
      <alignment horizontal="center"/>
    </xf>
    <xf numFmtId="0" fontId="22" fillId="0" borderId="13" xfId="0" applyFont="1" applyBorder="1" applyAlignment="1">
      <alignment horizontal="right"/>
    </xf>
    <xf numFmtId="0" fontId="0" fillId="0" borderId="13" xfId="0" applyBorder="1"/>
    <xf numFmtId="0" fontId="24" fillId="0" borderId="10" xfId="0" applyFont="1" applyBorder="1" applyAlignment="1">
      <alignment horizontal="right"/>
    </xf>
    <xf numFmtId="166" fontId="0" fillId="22" borderId="10" xfId="42" applyNumberFormat="1" applyFont="1" applyFill="1" applyBorder="1" applyAlignment="1" applyProtection="1">
      <alignment horizontal="left"/>
    </xf>
    <xf numFmtId="168" fontId="20" fillId="4" borderId="10" xfId="28" applyNumberFormat="1" applyFont="1" applyFill="1" applyBorder="1" applyAlignment="1" applyProtection="1">
      <alignment horizontal="left"/>
    </xf>
    <xf numFmtId="10" fontId="20" fillId="4" borderId="10" xfId="42" applyNumberFormat="1" applyFont="1" applyFill="1" applyBorder="1" applyAlignment="1" applyProtection="1">
      <alignment horizontal="left"/>
    </xf>
    <xf numFmtId="168" fontId="0" fillId="24" borderId="0" xfId="0" applyNumberFormat="1" applyFill="1"/>
    <xf numFmtId="168" fontId="0" fillId="4" borderId="0" xfId="0" applyNumberFormat="1" applyFill="1"/>
    <xf numFmtId="10" fontId="20" fillId="0" borderId="0" xfId="42" applyNumberFormat="1" applyFont="1" applyFill="1" applyBorder="1" applyAlignment="1" applyProtection="1">
      <alignment horizontal="left"/>
    </xf>
    <xf numFmtId="0" fontId="22" fillId="0" borderId="0" xfId="0" applyFont="1"/>
    <xf numFmtId="0" fontId="0" fillId="4" borderId="10" xfId="0" applyFill="1" applyBorder="1" applyAlignment="1">
      <alignment horizontal="left"/>
    </xf>
    <xf numFmtId="168" fontId="20" fillId="4" borderId="10" xfId="42" applyNumberFormat="1" applyFont="1" applyFill="1" applyBorder="1" applyAlignment="1" applyProtection="1">
      <alignment horizontal="left"/>
    </xf>
    <xf numFmtId="0" fontId="0" fillId="10" borderId="0" xfId="0" applyFill="1" applyAlignment="1">
      <alignment horizontal="left"/>
    </xf>
    <xf numFmtId="0" fontId="24" fillId="4" borderId="0" xfId="0" applyFont="1" applyFill="1" applyAlignment="1">
      <alignment horizontal="center"/>
    </xf>
    <xf numFmtId="0" fontId="0" fillId="10" borderId="0" xfId="42" applyNumberFormat="1" applyFont="1" applyFill="1" applyBorder="1" applyAlignment="1" applyProtection="1">
      <alignment horizontal="left"/>
    </xf>
    <xf numFmtId="0" fontId="0" fillId="0" borderId="0" xfId="42" applyNumberFormat="1" applyFont="1" applyFill="1" applyBorder="1" applyAlignment="1" applyProtection="1">
      <alignment horizontal="left"/>
    </xf>
    <xf numFmtId="0" fontId="0" fillId="17" borderId="0" xfId="42" applyNumberFormat="1" applyFont="1" applyFill="1" applyBorder="1" applyAlignment="1" applyProtection="1">
      <alignment horizontal="left"/>
    </xf>
    <xf numFmtId="164" fontId="20" fillId="4" borderId="10" xfId="42" applyNumberFormat="1" applyFont="1" applyFill="1" applyBorder="1" applyAlignment="1" applyProtection="1">
      <alignment horizontal="left"/>
    </xf>
    <xf numFmtId="10" fontId="20" fillId="4" borderId="11" xfId="42" applyNumberFormat="1" applyFont="1" applyFill="1" applyBorder="1" applyAlignment="1" applyProtection="1">
      <alignment horizontal="left"/>
    </xf>
    <xf numFmtId="10" fontId="0" fillId="0" borderId="0" xfId="42" applyNumberFormat="1" applyFont="1" applyFill="1" applyBorder="1" applyAlignment="1" applyProtection="1">
      <alignment horizontal="left"/>
    </xf>
    <xf numFmtId="169" fontId="0" fillId="17" borderId="0" xfId="42" applyNumberFormat="1" applyFont="1" applyFill="1" applyBorder="1" applyAlignment="1" applyProtection="1">
      <alignment horizontal="left"/>
    </xf>
    <xf numFmtId="169" fontId="0" fillId="0" borderId="0" xfId="42" applyNumberFormat="1" applyFont="1" applyFill="1" applyBorder="1" applyAlignment="1" applyProtection="1">
      <alignment horizontal="left"/>
    </xf>
    <xf numFmtId="169" fontId="0" fillId="17" borderId="0" xfId="0" applyNumberFormat="1" applyFill="1" applyAlignment="1">
      <alignment horizontal="left"/>
    </xf>
    <xf numFmtId="169" fontId="0" fillId="0" borderId="0" xfId="0" applyNumberFormat="1" applyAlignment="1">
      <alignment horizontal="left"/>
    </xf>
    <xf numFmtId="0" fontId="19" fillId="0" borderId="0" xfId="0" applyFont="1"/>
    <xf numFmtId="168" fontId="0" fillId="22" borderId="10" xfId="42" applyNumberFormat="1" applyFont="1" applyFill="1" applyBorder="1" applyAlignment="1" applyProtection="1">
      <alignment horizontal="left"/>
    </xf>
    <xf numFmtId="168" fontId="20" fillId="4" borderId="10" xfId="0" applyNumberFormat="1" applyFont="1" applyFill="1" applyBorder="1" applyAlignment="1">
      <alignment horizontal="left"/>
    </xf>
    <xf numFmtId="0" fontId="0" fillId="17" borderId="0" xfId="0" applyFill="1" applyAlignment="1">
      <alignment horizontal="left"/>
    </xf>
    <xf numFmtId="170" fontId="20" fillId="0" borderId="0" xfId="0" applyNumberFormat="1" applyFont="1" applyAlignment="1">
      <alignment horizontal="left"/>
    </xf>
    <xf numFmtId="171" fontId="0" fillId="17" borderId="0" xfId="42" applyNumberFormat="1" applyFont="1" applyFill="1" applyBorder="1" applyAlignment="1" applyProtection="1">
      <alignment horizontal="left"/>
    </xf>
    <xf numFmtId="171" fontId="0" fillId="0" borderId="0" xfId="42" applyNumberFormat="1" applyFont="1" applyFill="1" applyBorder="1" applyAlignment="1" applyProtection="1">
      <alignment horizontal="left"/>
    </xf>
    <xf numFmtId="171" fontId="0" fillId="17" borderId="0" xfId="0" applyNumberFormat="1" applyFill="1"/>
    <xf numFmtId="171" fontId="0" fillId="0" borderId="0" xfId="0" applyNumberFormat="1"/>
    <xf numFmtId="0" fontId="22" fillId="8" borderId="13" xfId="0" applyFont="1" applyFill="1" applyBorder="1" applyAlignment="1">
      <alignment horizontal="right"/>
    </xf>
    <xf numFmtId="0" fontId="20" fillId="0" borderId="10" xfId="0" applyFont="1" applyBorder="1"/>
    <xf numFmtId="0" fontId="20" fillId="0" borderId="10" xfId="0" applyFont="1" applyBorder="1" applyAlignment="1">
      <alignment horizontal="left"/>
    </xf>
    <xf numFmtId="0" fontId="0" fillId="22" borderId="10" xfId="0" applyFill="1" applyBorder="1"/>
    <xf numFmtId="0" fontId="0" fillId="0" borderId="10" xfId="0" applyBorder="1"/>
    <xf numFmtId="168" fontId="20" fillId="4" borderId="10" xfId="0" applyNumberFormat="1" applyFont="1" applyFill="1" applyBorder="1" applyAlignment="1">
      <alignment horizontal="left" wrapText="1"/>
    </xf>
    <xf numFmtId="165" fontId="0" fillId="0" borderId="0" xfId="0" applyNumberFormat="1"/>
    <xf numFmtId="2" fontId="0" fillId="0" borderId="0" xfId="0" applyNumberFormat="1"/>
    <xf numFmtId="0" fontId="0" fillId="22" borderId="0" xfId="0" applyFill="1" applyAlignment="1">
      <alignment horizontal="left"/>
    </xf>
    <xf numFmtId="0" fontId="20" fillId="4" borderId="0" xfId="0" applyFont="1" applyFill="1"/>
    <xf numFmtId="172" fontId="20" fillId="4" borderId="0" xfId="0" applyNumberFormat="1" applyFont="1" applyFill="1" applyAlignment="1">
      <alignment horizontal="left"/>
    </xf>
    <xf numFmtId="0" fontId="20" fillId="0" borderId="14" xfId="0" applyFont="1" applyBorder="1" applyAlignment="1">
      <alignment horizontal="right"/>
    </xf>
    <xf numFmtId="0" fontId="0" fillId="24" borderId="0" xfId="0" applyFill="1" applyAlignment="1">
      <alignment horizontal="left" vertical="top"/>
    </xf>
    <xf numFmtId="0" fontId="25" fillId="8" borderId="0" xfId="0" applyFont="1" applyFill="1" applyAlignment="1">
      <alignment vertical="center"/>
    </xf>
    <xf numFmtId="0" fontId="0" fillId="8" borderId="0" xfId="0" applyFill="1" applyAlignment="1">
      <alignment vertical="center"/>
    </xf>
    <xf numFmtId="0" fontId="22" fillId="0" borderId="0" xfId="0" applyFont="1" applyAlignment="1">
      <alignment horizontal="right"/>
    </xf>
    <xf numFmtId="0" fontId="27" fillId="0" borderId="0" xfId="0" applyFont="1"/>
    <xf numFmtId="0" fontId="28" fillId="0" borderId="0" xfId="0" applyFont="1" applyAlignment="1">
      <alignment horizontal="center" vertical="center" wrapText="1"/>
    </xf>
    <xf numFmtId="0" fontId="29" fillId="0" borderId="0" xfId="0" applyFont="1" applyAlignment="1">
      <alignment horizontal="center" vertical="center" wrapText="1"/>
    </xf>
    <xf numFmtId="0" fontId="14" fillId="8" borderId="15" xfId="0" applyFont="1" applyFill="1" applyBorder="1"/>
    <xf numFmtId="0" fontId="14" fillId="8" borderId="16" xfId="0" applyFont="1" applyFill="1" applyBorder="1"/>
    <xf numFmtId="0" fontId="22" fillId="8" borderId="13" xfId="0" applyFont="1" applyFill="1" applyBorder="1"/>
    <xf numFmtId="0" fontId="0" fillId="8" borderId="13" xfId="0" applyFill="1" applyBorder="1"/>
    <xf numFmtId="0" fontId="0" fillId="0" borderId="0" xfId="0" applyAlignment="1">
      <alignment horizontal="left" vertical="top" wrapText="1"/>
    </xf>
    <xf numFmtId="0" fontId="20" fillId="0" borderId="17" xfId="0" applyFont="1" applyBorder="1" applyAlignment="1">
      <alignment horizontal="right"/>
    </xf>
    <xf numFmtId="0" fontId="0" fillId="22" borderId="18" xfId="0" applyFill="1" applyBorder="1"/>
    <xf numFmtId="0" fontId="30" fillId="0" borderId="0" xfId="0" applyFont="1" applyAlignment="1">
      <alignment horizontal="center" vertical="top" wrapText="1"/>
    </xf>
    <xf numFmtId="0" fontId="21" fillId="0" borderId="0" xfId="0" applyFont="1"/>
    <xf numFmtId="0" fontId="20" fillId="0" borderId="0" xfId="0" applyFont="1" applyAlignment="1">
      <alignment horizontal="center" vertical="top" wrapText="1"/>
    </xf>
    <xf numFmtId="0" fontId="30" fillId="0" borderId="19" xfId="0" applyFont="1" applyBorder="1" applyAlignment="1">
      <alignment horizontal="center" vertical="top" wrapText="1"/>
    </xf>
    <xf numFmtId="0" fontId="0" fillId="3" borderId="20" xfId="0" applyFill="1" applyBorder="1"/>
    <xf numFmtId="0" fontId="20" fillId="0" borderId="13" xfId="0" applyFont="1" applyBorder="1" applyAlignment="1">
      <alignment horizontal="center" vertical="top" wrapText="1"/>
    </xf>
    <xf numFmtId="0" fontId="0" fillId="4" borderId="20" xfId="0" applyFill="1" applyBorder="1"/>
    <xf numFmtId="0" fontId="0" fillId="0" borderId="21" xfId="0" applyBorder="1"/>
    <xf numFmtId="0" fontId="31" fillId="8" borderId="22" xfId="0" applyFont="1" applyFill="1" applyBorder="1"/>
    <xf numFmtId="0" fontId="24" fillId="22" borderId="10" xfId="0" applyFont="1" applyFill="1" applyBorder="1" applyAlignment="1">
      <alignment horizontal="center"/>
    </xf>
    <xf numFmtId="0" fontId="20" fillId="22" borderId="10" xfId="0" applyFont="1" applyFill="1" applyBorder="1" applyAlignment="1">
      <alignment horizontal="left"/>
    </xf>
    <xf numFmtId="0" fontId="32" fillId="0" borderId="0" xfId="0" applyFont="1" applyAlignment="1">
      <alignment horizontal="left"/>
    </xf>
    <xf numFmtId="0" fontId="32" fillId="0" borderId="0" xfId="0" applyFont="1" applyAlignment="1">
      <alignment horizontal="center"/>
    </xf>
    <xf numFmtId="0" fontId="0" fillId="0" borderId="13" xfId="0" applyBorder="1" applyAlignment="1">
      <alignment horizontal="right"/>
    </xf>
    <xf numFmtId="0" fontId="32" fillId="0" borderId="13" xfId="0" applyFont="1" applyBorder="1" applyAlignment="1">
      <alignment horizontal="left"/>
    </xf>
    <xf numFmtId="0" fontId="24" fillId="0" borderId="0" xfId="0" applyFont="1" applyAlignment="1">
      <alignment horizontal="right"/>
    </xf>
    <xf numFmtId="0" fontId="32" fillId="4" borderId="10" xfId="0" applyFont="1" applyFill="1" applyBorder="1" applyAlignment="1">
      <alignment horizontal="left"/>
    </xf>
    <xf numFmtId="0" fontId="32" fillId="4" borderId="23" xfId="0" applyFont="1" applyFill="1" applyBorder="1" applyAlignment="1">
      <alignment horizontal="left"/>
    </xf>
    <xf numFmtId="0" fontId="0" fillId="4" borderId="10" xfId="0" applyFill="1" applyBorder="1"/>
    <xf numFmtId="0" fontId="0" fillId="0" borderId="0" xfId="0" applyAlignment="1">
      <alignment horizontal="left" vertical="center"/>
    </xf>
    <xf numFmtId="0" fontId="0" fillId="24" borderId="0" xfId="0" applyFill="1" applyAlignment="1">
      <alignment horizontal="center" vertical="center" wrapText="1"/>
    </xf>
    <xf numFmtId="0" fontId="0" fillId="24" borderId="0" xfId="0" applyFill="1" applyAlignment="1">
      <alignment horizontal="center" vertical="center"/>
    </xf>
    <xf numFmtId="0" fontId="20" fillId="22" borderId="0" xfId="0" applyFont="1" applyFill="1" applyAlignment="1">
      <alignment horizontal="left"/>
    </xf>
    <xf numFmtId="0" fontId="0" fillId="4" borderId="0" xfId="0" applyFill="1"/>
    <xf numFmtId="165" fontId="32" fillId="4" borderId="10" xfId="0" applyNumberFormat="1" applyFont="1" applyFill="1" applyBorder="1" applyAlignment="1">
      <alignment horizontal="left"/>
    </xf>
    <xf numFmtId="0" fontId="20" fillId="8" borderId="0" xfId="0" applyFont="1" applyFill="1"/>
    <xf numFmtId="165" fontId="32" fillId="4" borderId="10" xfId="0" applyNumberFormat="1" applyFont="1" applyFill="1" applyBorder="1" applyAlignment="1">
      <alignment horizontal="center"/>
    </xf>
    <xf numFmtId="0" fontId="0" fillId="0" borderId="24" xfId="0" applyBorder="1"/>
    <xf numFmtId="0" fontId="0" fillId="22" borderId="25" xfId="0" applyFill="1" applyBorder="1"/>
    <xf numFmtId="0" fontId="0" fillId="22" borderId="25" xfId="0" applyFill="1" applyBorder="1" applyAlignment="1">
      <alignment horizontal="center"/>
    </xf>
    <xf numFmtId="0" fontId="0" fillId="24" borderId="0" xfId="0" applyFill="1" applyAlignment="1">
      <alignment horizontal="center"/>
    </xf>
    <xf numFmtId="0" fontId="22" fillId="0" borderId="13" xfId="0" applyFont="1" applyBorder="1"/>
    <xf numFmtId="0" fontId="22" fillId="0" borderId="13" xfId="0" applyFont="1" applyBorder="1" applyAlignment="1">
      <alignment horizontal="left"/>
    </xf>
    <xf numFmtId="0" fontId="20" fillId="22" borderId="0" xfId="0" applyFont="1" applyFill="1" applyAlignment="1">
      <alignment horizontal="center"/>
    </xf>
    <xf numFmtId="0" fontId="23" fillId="8" borderId="17" xfId="0" applyFont="1" applyFill="1" applyBorder="1" applyAlignment="1">
      <alignment horizontal="left"/>
    </xf>
    <xf numFmtId="0" fontId="0" fillId="8" borderId="26" xfId="0" applyFill="1" applyBorder="1"/>
    <xf numFmtId="0" fontId="0" fillId="8" borderId="18" xfId="0" applyFill="1" applyBorder="1"/>
    <xf numFmtId="0" fontId="0" fillId="22" borderId="0" xfId="0" applyFill="1"/>
    <xf numFmtId="0" fontId="23" fillId="8" borderId="19" xfId="0" applyFont="1" applyFill="1" applyBorder="1"/>
    <xf numFmtId="0" fontId="0" fillId="8" borderId="20" xfId="0" applyFill="1" applyBorder="1"/>
    <xf numFmtId="0" fontId="0" fillId="8" borderId="21" xfId="0" applyFill="1" applyBorder="1"/>
    <xf numFmtId="0" fontId="0" fillId="8" borderId="24" xfId="0" applyFill="1" applyBorder="1"/>
    <xf numFmtId="0" fontId="0" fillId="8" borderId="22" xfId="0" applyFill="1" applyBorder="1"/>
    <xf numFmtId="0" fontId="0" fillId="4" borderId="0" xfId="0" applyFill="1" applyAlignment="1">
      <alignment horizontal="left"/>
    </xf>
    <xf numFmtId="168" fontId="0" fillId="4" borderId="10" xfId="0" applyNumberFormat="1" applyFill="1" applyBorder="1" applyAlignment="1">
      <alignment horizontal="left"/>
    </xf>
    <xf numFmtId="0" fontId="0" fillId="22" borderId="27" xfId="0" applyFill="1" applyBorder="1" applyAlignment="1">
      <alignment horizontal="center"/>
    </xf>
    <xf numFmtId="0" fontId="0" fillId="3" borderId="0" xfId="0" applyFill="1" applyAlignment="1">
      <alignment horizontal="left"/>
    </xf>
    <xf numFmtId="0" fontId="34" fillId="0" borderId="0" xfId="0" applyFont="1" applyAlignment="1">
      <alignment horizontal="center"/>
    </xf>
    <xf numFmtId="0" fontId="0" fillId="22" borderId="11" xfId="0" applyFill="1" applyBorder="1" applyAlignment="1">
      <alignment horizontal="center"/>
    </xf>
    <xf numFmtId="0" fontId="34" fillId="0" borderId="28" xfId="0" applyFont="1" applyBorder="1" applyAlignment="1">
      <alignment horizontal="center"/>
    </xf>
    <xf numFmtId="0" fontId="30" fillId="24" borderId="0" xfId="0" applyFont="1" applyFill="1" applyAlignment="1">
      <alignment vertical="center"/>
    </xf>
    <xf numFmtId="0" fontId="0" fillId="24" borderId="0" xfId="0" applyFill="1" applyAlignment="1">
      <alignment vertical="center"/>
    </xf>
    <xf numFmtId="0" fontId="20" fillId="8" borderId="0" xfId="0" applyFont="1" applyFill="1" applyAlignment="1">
      <alignment horizontal="right"/>
    </xf>
    <xf numFmtId="0" fontId="20" fillId="8" borderId="0" xfId="0" applyFont="1" applyFill="1" applyAlignment="1">
      <alignment horizontal="left"/>
    </xf>
    <xf numFmtId="0" fontId="0" fillId="22" borderId="0" xfId="0" applyFill="1" applyAlignment="1">
      <alignment horizontal="right"/>
    </xf>
    <xf numFmtId="0" fontId="0" fillId="0" borderId="29" xfId="0" applyBorder="1"/>
    <xf numFmtId="0" fontId="34" fillId="0" borderId="29" xfId="0" applyFont="1" applyBorder="1" applyAlignment="1">
      <alignment horizontal="center"/>
    </xf>
    <xf numFmtId="0" fontId="34" fillId="22" borderId="10" xfId="0" applyFont="1" applyFill="1" applyBorder="1" applyAlignment="1">
      <alignment horizontal="center"/>
    </xf>
    <xf numFmtId="0" fontId="0" fillId="22" borderId="14" xfId="0" applyFill="1" applyBorder="1" applyAlignment="1">
      <alignment horizontal="center"/>
    </xf>
    <xf numFmtId="0" fontId="0" fillId="24" borderId="30" xfId="0" applyFill="1" applyBorder="1"/>
    <xf numFmtId="0" fontId="0" fillId="24" borderId="0" xfId="0" applyFill="1" applyAlignment="1">
      <alignment horizontal="right"/>
    </xf>
    <xf numFmtId="0" fontId="0" fillId="0" borderId="24" xfId="0" applyBorder="1" applyAlignment="1">
      <alignment horizontal="right"/>
    </xf>
    <xf numFmtId="0" fontId="0" fillId="0" borderId="31" xfId="0" applyBorder="1"/>
    <xf numFmtId="0" fontId="0" fillId="0" borderId="0" xfId="0" applyAlignment="1">
      <alignment horizontal="center" vertical="top"/>
    </xf>
    <xf numFmtId="0" fontId="0" fillId="3" borderId="0" xfId="0" applyFill="1"/>
    <xf numFmtId="0" fontId="24" fillId="22" borderId="13" xfId="0" applyFont="1" applyFill="1" applyBorder="1" applyAlignment="1">
      <alignment horizontal="center"/>
    </xf>
    <xf numFmtId="0" fontId="31" fillId="8" borderId="0" xfId="0" applyFont="1" applyFill="1"/>
    <xf numFmtId="0" fontId="24" fillId="22" borderId="0" xfId="0" applyFont="1" applyFill="1" applyAlignment="1">
      <alignment horizontal="center"/>
    </xf>
    <xf numFmtId="0" fontId="20" fillId="3" borderId="0" xfId="0" applyFont="1" applyFill="1"/>
    <xf numFmtId="0" fontId="0" fillId="24" borderId="0" xfId="0" applyFill="1" applyAlignment="1">
      <alignment horizontal="center" vertical="top" wrapText="1"/>
    </xf>
    <xf numFmtId="0" fontId="0" fillId="22" borderId="0" xfId="0" applyFill="1" applyAlignment="1">
      <alignment horizontal="center"/>
    </xf>
    <xf numFmtId="0" fontId="22" fillId="8" borderId="0" xfId="0" applyFont="1" applyFill="1" applyAlignment="1">
      <alignment horizontal="right"/>
    </xf>
    <xf numFmtId="173" fontId="0" fillId="22" borderId="10" xfId="42" applyNumberFormat="1" applyFont="1" applyFill="1" applyBorder="1" applyAlignment="1" applyProtection="1">
      <alignment horizontal="left"/>
    </xf>
    <xf numFmtId="0" fontId="0" fillId="22" borderId="32" xfId="0" applyFill="1" applyBorder="1"/>
    <xf numFmtId="0" fontId="0" fillId="22" borderId="33" xfId="0" applyFill="1" applyBorder="1"/>
    <xf numFmtId="0" fontId="0" fillId="0" borderId="33" xfId="0" applyBorder="1"/>
    <xf numFmtId="0" fontId="0" fillId="0" borderId="34" xfId="0" applyBorder="1"/>
    <xf numFmtId="0" fontId="36" fillId="0" borderId="35" xfId="0" applyFont="1" applyBorder="1" applyAlignment="1">
      <alignment horizontal="center" vertical="top" wrapText="1"/>
    </xf>
    <xf numFmtId="0" fontId="37" fillId="0" borderId="35" xfId="0" applyFont="1" applyBorder="1" applyAlignment="1">
      <alignment horizontal="center" vertical="top" wrapText="1"/>
    </xf>
    <xf numFmtId="0" fontId="0" fillId="0" borderId="34" xfId="0" applyBorder="1" applyAlignment="1">
      <alignment horizontal="center"/>
    </xf>
    <xf numFmtId="0" fontId="0" fillId="4" borderId="23" xfId="0" applyFill="1" applyBorder="1" applyAlignment="1">
      <alignment horizontal="left"/>
    </xf>
    <xf numFmtId="0" fontId="0" fillId="22" borderId="36" xfId="0" applyFill="1" applyBorder="1" applyAlignment="1">
      <alignment horizontal="left"/>
    </xf>
    <xf numFmtId="0" fontId="0" fillId="0" borderId="37" xfId="0" applyBorder="1"/>
    <xf numFmtId="0" fontId="27" fillId="0" borderId="0" xfId="0" applyFont="1" applyAlignment="1">
      <alignment horizontal="center" vertical="top" wrapText="1"/>
    </xf>
    <xf numFmtId="0" fontId="0" fillId="22" borderId="38" xfId="0" applyFill="1" applyBorder="1" applyAlignment="1">
      <alignment horizontal="left"/>
    </xf>
    <xf numFmtId="2" fontId="0" fillId="0" borderId="37" xfId="0" applyNumberFormat="1" applyBorder="1"/>
    <xf numFmtId="173" fontId="20" fillId="4" borderId="10" xfId="42" applyNumberFormat="1" applyFont="1" applyFill="1" applyBorder="1" applyAlignment="1" applyProtection="1">
      <alignment horizontal="left"/>
    </xf>
    <xf numFmtId="172" fontId="0" fillId="4" borderId="0" xfId="0" applyNumberFormat="1" applyFill="1"/>
    <xf numFmtId="2" fontId="0" fillId="4" borderId="10" xfId="0" applyNumberFormat="1" applyFill="1" applyBorder="1" applyAlignment="1">
      <alignment horizontal="left"/>
    </xf>
    <xf numFmtId="2" fontId="0" fillId="22" borderId="38" xfId="0" applyNumberFormat="1" applyFill="1" applyBorder="1" applyAlignment="1">
      <alignment horizontal="left"/>
    </xf>
    <xf numFmtId="2" fontId="0" fillId="22" borderId="10" xfId="0" applyNumberFormat="1" applyFill="1" applyBorder="1" applyAlignment="1">
      <alignment horizontal="left"/>
    </xf>
    <xf numFmtId="2" fontId="0" fillId="0" borderId="10" xfId="0" applyNumberFormat="1" applyBorder="1"/>
    <xf numFmtId="0" fontId="0" fillId="22" borderId="23" xfId="0" applyFill="1" applyBorder="1" applyAlignment="1">
      <alignment horizontal="left"/>
    </xf>
    <xf numFmtId="0" fontId="0" fillId="22" borderId="10" xfId="42" applyNumberFormat="1" applyFont="1" applyFill="1" applyBorder="1" applyAlignment="1" applyProtection="1">
      <alignment horizontal="left"/>
    </xf>
    <xf numFmtId="170" fontId="20" fillId="4" borderId="10" xfId="42" applyNumberFormat="1" applyFont="1" applyFill="1" applyBorder="1" applyAlignment="1" applyProtection="1">
      <alignment horizontal="left"/>
    </xf>
    <xf numFmtId="0" fontId="22" fillId="8" borderId="0" xfId="0" applyFont="1" applyFill="1"/>
    <xf numFmtId="0" fontId="20" fillId="0" borderId="10" xfId="0" applyFont="1" applyBorder="1" applyAlignment="1">
      <alignment horizontal="center"/>
    </xf>
    <xf numFmtId="0" fontId="20" fillId="22" borderId="10" xfId="0" applyFont="1" applyFill="1" applyBorder="1" applyAlignment="1">
      <alignment horizontal="right"/>
    </xf>
    <xf numFmtId="0" fontId="0" fillId="0" borderId="10" xfId="0" applyBorder="1" applyAlignment="1">
      <alignment horizontal="center" vertical="top" wrapText="1"/>
    </xf>
    <xf numFmtId="0" fontId="0" fillId="0" borderId="0" xfId="0" applyAlignment="1">
      <alignment horizontal="center" vertical="top" wrapText="1"/>
    </xf>
    <xf numFmtId="0" fontId="0" fillId="22" borderId="36" xfId="0" applyFill="1" applyBorder="1"/>
    <xf numFmtId="0" fontId="0" fillId="22" borderId="39" xfId="0" applyFill="1" applyBorder="1"/>
    <xf numFmtId="0" fontId="0" fillId="0" borderId="25" xfId="0" applyBorder="1"/>
    <xf numFmtId="0" fontId="0" fillId="0" borderId="40" xfId="0" applyBorder="1"/>
    <xf numFmtId="0" fontId="39" fillId="8" borderId="0" xfId="0" applyFont="1" applyFill="1"/>
    <xf numFmtId="0" fontId="0" fillId="4" borderId="12" xfId="0" applyFill="1" applyBorder="1"/>
    <xf numFmtId="170" fontId="0" fillId="22" borderId="10" xfId="42" applyNumberFormat="1" applyFont="1" applyFill="1" applyBorder="1" applyAlignment="1" applyProtection="1">
      <alignment horizontal="left"/>
    </xf>
    <xf numFmtId="172" fontId="20" fillId="4" borderId="10" xfId="0" applyNumberFormat="1" applyFont="1" applyFill="1" applyBorder="1" applyAlignment="1">
      <alignment horizontal="left"/>
    </xf>
    <xf numFmtId="0" fontId="0" fillId="4" borderId="10" xfId="42" applyNumberFormat="1" applyFont="1" applyFill="1" applyBorder="1" applyAlignment="1" applyProtection="1">
      <alignment horizontal="left"/>
    </xf>
    <xf numFmtId="170" fontId="0" fillId="4" borderId="10" xfId="42" applyNumberFormat="1" applyFont="1" applyFill="1" applyBorder="1" applyAlignment="1" applyProtection="1">
      <alignment horizontal="left"/>
    </xf>
    <xf numFmtId="0" fontId="0" fillId="3" borderId="0" xfId="0" applyFill="1" applyAlignment="1">
      <alignment horizontal="right"/>
    </xf>
    <xf numFmtId="0" fontId="0" fillId="0" borderId="11" xfId="0" applyBorder="1" applyAlignment="1">
      <alignment horizontal="left"/>
    </xf>
    <xf numFmtId="0" fontId="0" fillId="22" borderId="41" xfId="0" applyFill="1" applyBorder="1" applyAlignment="1">
      <alignment horizontal="left"/>
    </xf>
    <xf numFmtId="0" fontId="0" fillId="22" borderId="42" xfId="0" applyFill="1" applyBorder="1" applyAlignment="1">
      <alignment horizontal="left"/>
    </xf>
    <xf numFmtId="0" fontId="40" fillId="8" borderId="23" xfId="0" applyFont="1" applyFill="1" applyBorder="1"/>
    <xf numFmtId="0" fontId="0" fillId="8" borderId="43" xfId="0" applyFill="1" applyBorder="1"/>
    <xf numFmtId="0" fontId="0" fillId="8" borderId="38" xfId="0" applyFill="1" applyBorder="1"/>
    <xf numFmtId="0" fontId="0" fillId="22" borderId="42" xfId="0" applyFill="1" applyBorder="1"/>
    <xf numFmtId="0" fontId="0" fillId="4" borderId="12" xfId="0" applyFill="1" applyBorder="1" applyAlignment="1">
      <alignment horizontal="center" vertical="center" wrapText="1"/>
    </xf>
    <xf numFmtId="0" fontId="0" fillId="24" borderId="20" xfId="0" applyFill="1" applyBorder="1" applyAlignment="1">
      <alignment horizontal="center" vertical="center" wrapText="1"/>
    </xf>
    <xf numFmtId="11" fontId="0" fillId="22" borderId="42" xfId="0" applyNumberFormat="1" applyFill="1" applyBorder="1"/>
    <xf numFmtId="0" fontId="29" fillId="0" borderId="0" xfId="0" applyFont="1"/>
    <xf numFmtId="0" fontId="0" fillId="0" borderId="0" xfId="0" applyAlignment="1">
      <alignment horizontal="center" wrapText="1"/>
    </xf>
    <xf numFmtId="0" fontId="0" fillId="22" borderId="44" xfId="0" applyFill="1" applyBorder="1"/>
    <xf numFmtId="0" fontId="41" fillId="0" borderId="0" xfId="0" applyFont="1" applyAlignment="1">
      <alignment horizontal="left"/>
    </xf>
    <xf numFmtId="0" fontId="0" fillId="0" borderId="0" xfId="0" applyAlignment="1">
      <alignment horizontal="left" vertical="center" wrapText="1"/>
    </xf>
    <xf numFmtId="165" fontId="0" fillId="0" borderId="0" xfId="0" applyNumberFormat="1" applyAlignment="1">
      <alignment horizontal="left"/>
    </xf>
    <xf numFmtId="2" fontId="0" fillId="0" borderId="0" xfId="0" applyNumberFormat="1" applyAlignment="1">
      <alignment horizontal="left"/>
    </xf>
    <xf numFmtId="174" fontId="0" fillId="0" borderId="0" xfId="0" applyNumberFormat="1"/>
    <xf numFmtId="0" fontId="0" fillId="0" borderId="24" xfId="0" applyBorder="1" applyAlignment="1">
      <alignment horizontal="center"/>
    </xf>
    <xf numFmtId="0" fontId="0" fillId="26" borderId="0" xfId="42" applyNumberFormat="1" applyFont="1" applyFill="1" applyBorder="1" applyAlignment="1" applyProtection="1">
      <alignment horizontal="left"/>
    </xf>
    <xf numFmtId="170" fontId="0" fillId="26" borderId="0" xfId="42" applyNumberFormat="1" applyFont="1" applyFill="1" applyBorder="1" applyAlignment="1" applyProtection="1">
      <alignment horizontal="left"/>
    </xf>
    <xf numFmtId="0" fontId="0" fillId="26" borderId="0" xfId="0" applyFill="1" applyAlignment="1">
      <alignment horizontal="left"/>
    </xf>
    <xf numFmtId="172" fontId="0" fillId="17" borderId="0" xfId="0" applyNumberFormat="1" applyFill="1" applyAlignment="1">
      <alignment horizontal="left"/>
    </xf>
    <xf numFmtId="0" fontId="42" fillId="8" borderId="0" xfId="0" applyFont="1" applyFill="1" applyAlignment="1">
      <alignment horizontal="center"/>
    </xf>
    <xf numFmtId="0" fontId="43" fillId="8" borderId="13" xfId="0" applyFont="1" applyFill="1" applyBorder="1" applyAlignment="1">
      <alignment horizontal="left"/>
    </xf>
    <xf numFmtId="0" fontId="20" fillId="4" borderId="0" xfId="0" applyFont="1" applyFill="1" applyAlignment="1">
      <alignment horizontal="center"/>
    </xf>
    <xf numFmtId="0" fontId="14" fillId="0" borderId="10" xfId="39" applyBorder="1" applyAlignment="1">
      <alignment horizontal="right"/>
    </xf>
    <xf numFmtId="0" fontId="14" fillId="4" borderId="10" xfId="39" applyFill="1" applyBorder="1"/>
    <xf numFmtId="0" fontId="44" fillId="4" borderId="0" xfId="0" applyFont="1" applyFill="1"/>
    <xf numFmtId="0" fontId="0" fillId="0" borderId="38" xfId="0" applyBorder="1" applyAlignment="1">
      <alignment horizontal="right"/>
    </xf>
    <xf numFmtId="0" fontId="0" fillId="0" borderId="45" xfId="0" applyBorder="1"/>
    <xf numFmtId="166" fontId="0" fillId="22" borderId="0" xfId="42" applyNumberFormat="1" applyFont="1" applyFill="1" applyBorder="1" applyAlignment="1" applyProtection="1">
      <alignment horizontal="left"/>
    </xf>
    <xf numFmtId="0" fontId="21" fillId="0" borderId="0" xfId="0" applyFont="1" applyAlignment="1">
      <alignment horizontal="left"/>
    </xf>
    <xf numFmtId="0" fontId="0" fillId="4" borderId="24" xfId="0" applyFill="1" applyBorder="1"/>
    <xf numFmtId="0" fontId="0" fillId="25" borderId="0" xfId="0" applyFill="1"/>
    <xf numFmtId="0" fontId="39" fillId="0" borderId="0" xfId="0" applyFont="1"/>
    <xf numFmtId="0" fontId="21" fillId="8" borderId="45" xfId="0" applyFont="1" applyFill="1" applyBorder="1"/>
    <xf numFmtId="0" fontId="46" fillId="8" borderId="45" xfId="0" applyFont="1" applyFill="1" applyBorder="1"/>
    <xf numFmtId="0" fontId="0" fillId="8" borderId="45" xfId="0" applyFill="1" applyBorder="1"/>
    <xf numFmtId="0" fontId="0" fillId="22" borderId="45" xfId="0" applyFill="1" applyBorder="1"/>
    <xf numFmtId="0" fontId="0" fillId="3" borderId="24" xfId="0" applyFill="1" applyBorder="1"/>
    <xf numFmtId="0" fontId="21" fillId="8" borderId="0" xfId="0" applyFont="1" applyFill="1"/>
    <xf numFmtId="0" fontId="0" fillId="3" borderId="10" xfId="0" applyFill="1" applyBorder="1" applyAlignment="1">
      <alignment horizontal="right"/>
    </xf>
    <xf numFmtId="175" fontId="0" fillId="22" borderId="10" xfId="0" applyNumberFormat="1" applyFill="1" applyBorder="1" applyAlignment="1">
      <alignment horizontal="left"/>
    </xf>
    <xf numFmtId="10" fontId="0" fillId="22" borderId="10" xfId="0" applyNumberFormat="1" applyFill="1" applyBorder="1" applyAlignment="1">
      <alignment horizontal="left"/>
    </xf>
    <xf numFmtId="176" fontId="20" fillId="4" borderId="10" xfId="0" applyNumberFormat="1" applyFont="1" applyFill="1" applyBorder="1" applyAlignment="1">
      <alignment horizontal="left"/>
    </xf>
    <xf numFmtId="0" fontId="21" fillId="8" borderId="0" xfId="0" applyFont="1" applyFill="1" applyAlignment="1">
      <alignment horizontal="left"/>
    </xf>
    <xf numFmtId="177" fontId="0" fillId="0" borderId="0" xfId="0" applyNumberFormat="1"/>
    <xf numFmtId="0" fontId="20" fillId="3" borderId="10" xfId="0" applyFont="1" applyFill="1" applyBorder="1" applyAlignment="1">
      <alignment horizontal="right"/>
    </xf>
    <xf numFmtId="0" fontId="21" fillId="8" borderId="13" xfId="0" applyFont="1" applyFill="1" applyBorder="1" applyAlignment="1">
      <alignment horizontal="left"/>
    </xf>
    <xf numFmtId="178" fontId="0" fillId="4" borderId="10" xfId="0" applyNumberFormat="1" applyFill="1" applyBorder="1" applyAlignment="1">
      <alignment horizontal="left"/>
    </xf>
    <xf numFmtId="165" fontId="0" fillId="4" borderId="10" xfId="0" applyNumberFormat="1" applyFill="1" applyBorder="1" applyAlignment="1">
      <alignment horizontal="center"/>
    </xf>
    <xf numFmtId="0" fontId="0" fillId="0" borderId="17" xfId="0" applyBorder="1"/>
    <xf numFmtId="0" fontId="0" fillId="0" borderId="26" xfId="0" applyBorder="1"/>
    <xf numFmtId="0" fontId="0" fillId="0" borderId="18" xfId="0" applyBorder="1"/>
    <xf numFmtId="0" fontId="0" fillId="0" borderId="19" xfId="0" applyBorder="1"/>
    <xf numFmtId="0" fontId="0" fillId="0" borderId="20" xfId="0" applyBorder="1"/>
    <xf numFmtId="0" fontId="14" fillId="0" borderId="0" xfId="38"/>
    <xf numFmtId="0" fontId="14" fillId="22" borderId="0" xfId="38" applyFill="1"/>
    <xf numFmtId="179" fontId="14" fillId="4" borderId="0" xfId="38" applyNumberFormat="1" applyFill="1"/>
    <xf numFmtId="177" fontId="14" fillId="0" borderId="0" xfId="38" applyNumberFormat="1"/>
    <xf numFmtId="0" fontId="0" fillId="0" borderId="22" xfId="0" applyBorder="1"/>
    <xf numFmtId="0" fontId="21" fillId="8" borderId="0" xfId="38" applyFont="1" applyFill="1"/>
    <xf numFmtId="0" fontId="14" fillId="0" borderId="17" xfId="38" applyBorder="1"/>
    <xf numFmtId="0" fontId="14" fillId="0" borderId="26" xfId="38" applyBorder="1"/>
    <xf numFmtId="0" fontId="14" fillId="0" borderId="18" xfId="38" applyBorder="1"/>
    <xf numFmtId="0" fontId="14" fillId="0" borderId="19" xfId="38" applyBorder="1"/>
    <xf numFmtId="0" fontId="14" fillId="0" borderId="20" xfId="38" applyBorder="1"/>
    <xf numFmtId="0" fontId="14" fillId="0" borderId="0" xfId="38" applyAlignment="1">
      <alignment horizontal="right"/>
    </xf>
    <xf numFmtId="175" fontId="14" fillId="22" borderId="0" xfId="38" applyNumberFormat="1" applyFill="1" applyAlignment="1">
      <alignment horizontal="left"/>
    </xf>
    <xf numFmtId="10" fontId="14" fillId="22" borderId="0" xfId="38" applyNumberFormat="1" applyFill="1" applyAlignment="1">
      <alignment horizontal="left"/>
    </xf>
    <xf numFmtId="0" fontId="14" fillId="22" borderId="0" xfId="38" applyFill="1" applyAlignment="1">
      <alignment horizontal="left"/>
    </xf>
    <xf numFmtId="179" fontId="14" fillId="0" borderId="20" xfId="38" applyNumberFormat="1" applyBorder="1"/>
    <xf numFmtId="175" fontId="14" fillId="4" borderId="0" xfId="38" applyNumberFormat="1" applyFill="1" applyAlignment="1">
      <alignment horizontal="left"/>
    </xf>
    <xf numFmtId="0" fontId="14" fillId="0" borderId="21" xfId="38" applyBorder="1"/>
    <xf numFmtId="0" fontId="14" fillId="0" borderId="24" xfId="38" applyBorder="1"/>
    <xf numFmtId="177" fontId="14" fillId="0" borderId="22" xfId="38" applyNumberFormat="1" applyBorder="1"/>
    <xf numFmtId="0" fontId="21" fillId="8" borderId="0" xfId="38" applyFont="1" applyFill="1" applyAlignment="1">
      <alignment horizontal="left"/>
    </xf>
    <xf numFmtId="10" fontId="14" fillId="0" borderId="0" xfId="38" applyNumberFormat="1" applyAlignment="1">
      <alignment horizontal="left"/>
    </xf>
    <xf numFmtId="10" fontId="14" fillId="0" borderId="0" xfId="38" applyNumberFormat="1"/>
    <xf numFmtId="9" fontId="14" fillId="0" borderId="0" xfId="38" applyNumberFormat="1"/>
    <xf numFmtId="0" fontId="48" fillId="0" borderId="0" xfId="0" applyFont="1"/>
    <xf numFmtId="10" fontId="0" fillId="24" borderId="0" xfId="42" applyNumberFormat="1" applyFont="1" applyFill="1" applyBorder="1" applyAlignment="1" applyProtection="1">
      <alignment horizontal="left"/>
    </xf>
    <xf numFmtId="0" fontId="0" fillId="22" borderId="27" xfId="0" applyFill="1" applyBorder="1" applyAlignment="1">
      <alignment horizontal="left"/>
    </xf>
    <xf numFmtId="0" fontId="0" fillId="24" borderId="0" xfId="0" applyFill="1" applyAlignment="1">
      <alignment horizontal="left" vertical="top" wrapText="1"/>
    </xf>
    <xf numFmtId="10" fontId="20" fillId="3" borderId="10" xfId="42" applyNumberFormat="1" applyFont="1" applyFill="1" applyBorder="1" applyAlignment="1" applyProtection="1">
      <alignment horizontal="left"/>
    </xf>
    <xf numFmtId="165" fontId="20" fillId="4" borderId="0" xfId="0" applyNumberFormat="1" applyFont="1" applyFill="1" applyAlignment="1">
      <alignment horizontal="left"/>
    </xf>
    <xf numFmtId="0" fontId="0" fillId="8" borderId="0" xfId="0" applyFill="1" applyAlignment="1">
      <alignment horizontal="center"/>
    </xf>
    <xf numFmtId="10" fontId="20" fillId="3" borderId="14" xfId="42" applyNumberFormat="1" applyFont="1" applyFill="1" applyBorder="1" applyAlignment="1" applyProtection="1">
      <alignment horizontal="left"/>
    </xf>
    <xf numFmtId="10" fontId="0" fillId="3" borderId="10" xfId="42" applyNumberFormat="1" applyFont="1" applyFill="1" applyBorder="1" applyAlignment="1" applyProtection="1">
      <alignment horizontal="left"/>
    </xf>
    <xf numFmtId="0" fontId="0" fillId="22" borderId="10" xfId="0" applyFill="1" applyBorder="1" applyAlignment="1">
      <alignment horizontal="center" vertical="center" wrapText="1"/>
    </xf>
    <xf numFmtId="0" fontId="20" fillId="4" borderId="10" xfId="0" applyFont="1" applyFill="1" applyBorder="1" applyAlignment="1">
      <alignment horizontal="center" vertical="center" wrapText="1"/>
    </xf>
    <xf numFmtId="0" fontId="49" fillId="0" borderId="0" xfId="0" applyFont="1" applyAlignment="1">
      <alignment horizontal="center"/>
    </xf>
    <xf numFmtId="165" fontId="0" fillId="4" borderId="0" xfId="42" applyNumberFormat="1" applyFont="1" applyFill="1" applyBorder="1" applyAlignment="1" applyProtection="1">
      <alignment horizontal="left"/>
    </xf>
    <xf numFmtId="0" fontId="20" fillId="0" borderId="46" xfId="0" applyFont="1" applyBorder="1" applyAlignment="1">
      <alignment horizontal="center"/>
    </xf>
    <xf numFmtId="0" fontId="20" fillId="24" borderId="47" xfId="0" applyFont="1" applyFill="1" applyBorder="1" applyAlignment="1">
      <alignment horizontal="right"/>
    </xf>
    <xf numFmtId="0" fontId="20" fillId="24" borderId="10" xfId="0" applyFont="1" applyFill="1" applyBorder="1"/>
    <xf numFmtId="0" fontId="20" fillId="24" borderId="23" xfId="0" applyFont="1" applyFill="1" applyBorder="1"/>
    <xf numFmtId="0" fontId="0" fillId="0" borderId="23" xfId="0" applyBorder="1"/>
    <xf numFmtId="0" fontId="0" fillId="0" borderId="10" xfId="0" applyBorder="1" applyAlignment="1">
      <alignment horizontal="left"/>
    </xf>
    <xf numFmtId="0" fontId="0" fillId="24" borderId="10" xfId="0" applyFill="1" applyBorder="1"/>
    <xf numFmtId="0" fontId="0" fillId="24" borderId="23" xfId="0" applyFill="1" applyBorder="1"/>
    <xf numFmtId="0" fontId="0" fillId="24" borderId="10" xfId="0" applyFill="1" applyBorder="1" applyAlignment="1">
      <alignment horizontal="left"/>
    </xf>
    <xf numFmtId="0" fontId="20" fillId="24" borderId="0" xfId="0" applyFont="1" applyFill="1" applyAlignment="1">
      <alignment horizontal="left"/>
    </xf>
    <xf numFmtId="0" fontId="20" fillId="0" borderId="15" xfId="0" applyFont="1" applyBorder="1"/>
    <xf numFmtId="0" fontId="0" fillId="22" borderId="48" xfId="0" applyFill="1" applyBorder="1"/>
    <xf numFmtId="0" fontId="0" fillId="3" borderId="48" xfId="0" applyFill="1" applyBorder="1"/>
    <xf numFmtId="0" fontId="0" fillId="4" borderId="48" xfId="0" applyFill="1" applyBorder="1"/>
    <xf numFmtId="0" fontId="31" fillId="8" borderId="16" xfId="0" applyFont="1" applyFill="1" applyBorder="1"/>
    <xf numFmtId="0" fontId="30" fillId="0" borderId="0" xfId="0" applyFont="1"/>
    <xf numFmtId="0" fontId="20" fillId="24" borderId="10" xfId="0" applyFont="1" applyFill="1" applyBorder="1" applyAlignment="1">
      <alignment horizontal="center"/>
    </xf>
    <xf numFmtId="0" fontId="20" fillId="22" borderId="10" xfId="0" applyFont="1" applyFill="1" applyBorder="1" applyAlignment="1">
      <alignment horizontal="center"/>
    </xf>
    <xf numFmtId="0" fontId="0" fillId="22" borderId="14" xfId="0" applyFill="1" applyBorder="1" applyAlignment="1">
      <alignment horizontal="left"/>
    </xf>
    <xf numFmtId="0" fontId="20" fillId="22" borderId="11" xfId="0" applyFont="1" applyFill="1" applyBorder="1" applyAlignment="1">
      <alignment horizontal="center"/>
    </xf>
    <xf numFmtId="0" fontId="0" fillId="22" borderId="11" xfId="0" applyFill="1" applyBorder="1" applyAlignment="1">
      <alignment horizontal="left"/>
    </xf>
    <xf numFmtId="9" fontId="0" fillId="4" borderId="0" xfId="42" applyFont="1" applyFill="1" applyBorder="1" applyAlignment="1" applyProtection="1"/>
    <xf numFmtId="9" fontId="0" fillId="0" borderId="0" xfId="42" applyFont="1" applyFill="1" applyBorder="1" applyAlignment="1" applyProtection="1"/>
    <xf numFmtId="9" fontId="0" fillId="0" borderId="24" xfId="42" applyFont="1" applyFill="1" applyBorder="1" applyAlignment="1" applyProtection="1"/>
    <xf numFmtId="0" fontId="49" fillId="0" borderId="0" xfId="0" applyFont="1"/>
    <xf numFmtId="0" fontId="50" fillId="3" borderId="29" xfId="0" applyFont="1" applyFill="1" applyBorder="1" applyAlignment="1">
      <alignment horizontal="center"/>
    </xf>
    <xf numFmtId="0" fontId="0" fillId="0" borderId="14" xfId="0" applyBorder="1" applyAlignment="1">
      <alignment horizontal="left"/>
    </xf>
    <xf numFmtId="0" fontId="0" fillId="4" borderId="0" xfId="0" applyFill="1" applyAlignment="1">
      <alignment horizontal="center"/>
    </xf>
    <xf numFmtId="0" fontId="20" fillId="8" borderId="0" xfId="0" applyFont="1" applyFill="1" applyAlignment="1">
      <alignment horizontal="center"/>
    </xf>
    <xf numFmtId="170" fontId="0" fillId="0" borderId="0" xfId="0" applyNumberFormat="1"/>
    <xf numFmtId="170" fontId="0" fillId="0" borderId="24" xfId="0" applyNumberFormat="1" applyBorder="1"/>
    <xf numFmtId="0" fontId="46" fillId="8" borderId="49" xfId="0" applyFont="1" applyFill="1" applyBorder="1"/>
    <xf numFmtId="0" fontId="20" fillId="8" borderId="50" xfId="0" applyFont="1" applyFill="1" applyBorder="1"/>
    <xf numFmtId="0" fontId="0" fillId="8" borderId="50" xfId="0" applyFill="1" applyBorder="1"/>
    <xf numFmtId="0" fontId="0" fillId="8" borderId="51" xfId="0" applyFill="1" applyBorder="1"/>
    <xf numFmtId="0" fontId="0" fillId="0" borderId="27" xfId="0" applyBorder="1"/>
    <xf numFmtId="168" fontId="0" fillId="0" borderId="0" xfId="0" applyNumberFormat="1"/>
    <xf numFmtId="0" fontId="0" fillId="6" borderId="0" xfId="0" applyFill="1"/>
    <xf numFmtId="0" fontId="0" fillId="0" borderId="27" xfId="0" applyBorder="1" applyAlignment="1">
      <alignment horizontal="center"/>
    </xf>
    <xf numFmtId="9" fontId="0" fillId="6" borderId="0" xfId="42" applyFont="1" applyFill="1" applyBorder="1" applyAlignment="1" applyProtection="1"/>
    <xf numFmtId="9" fontId="0" fillId="3" borderId="0" xfId="42" applyFont="1" applyFill="1" applyBorder="1" applyAlignment="1" applyProtection="1"/>
    <xf numFmtId="0" fontId="20" fillId="3" borderId="10" xfId="0" applyFont="1" applyFill="1" applyBorder="1"/>
    <xf numFmtId="0" fontId="20" fillId="0" borderId="27" xfId="0" applyFont="1" applyBorder="1" applyAlignment="1">
      <alignment horizontal="center"/>
    </xf>
    <xf numFmtId="0" fontId="0" fillId="0" borderId="23" xfId="0" applyBorder="1" applyAlignment="1">
      <alignment horizontal="center"/>
    </xf>
    <xf numFmtId="0" fontId="0" fillId="3" borderId="10" xfId="0" applyFill="1" applyBorder="1"/>
    <xf numFmtId="0" fontId="20" fillId="0" borderId="52" xfId="0" applyFont="1" applyBorder="1" applyAlignment="1">
      <alignment horizontal="right"/>
    </xf>
    <xf numFmtId="0" fontId="20" fillId="0" borderId="36" xfId="0" applyFont="1" applyBorder="1"/>
    <xf numFmtId="0" fontId="20" fillId="6" borderId="36" xfId="0" applyFont="1" applyFill="1" applyBorder="1"/>
    <xf numFmtId="0" fontId="20" fillId="0" borderId="39" xfId="0" applyFont="1" applyBorder="1"/>
    <xf numFmtId="0" fontId="0" fillId="0" borderId="11" xfId="0" applyBorder="1" applyAlignment="1">
      <alignment horizontal="center"/>
    </xf>
    <xf numFmtId="0" fontId="0" fillId="3" borderId="23" xfId="0" applyFill="1" applyBorder="1" applyAlignment="1">
      <alignment horizontal="center"/>
    </xf>
    <xf numFmtId="0" fontId="0" fillId="3" borderId="0" xfId="0" applyFill="1" applyAlignment="1">
      <alignment horizontal="center"/>
    </xf>
    <xf numFmtId="170" fontId="0" fillId="3" borderId="0" xfId="0" applyNumberFormat="1" applyFill="1"/>
    <xf numFmtId="0" fontId="0" fillId="0" borderId="19" xfId="0" applyBorder="1" applyAlignment="1">
      <alignment horizontal="right"/>
    </xf>
    <xf numFmtId="10" fontId="0" fillId="3" borderId="0" xfId="0" applyNumberFormat="1" applyFill="1"/>
    <xf numFmtId="10" fontId="0" fillId="0" borderId="0" xfId="0" applyNumberFormat="1"/>
    <xf numFmtId="10" fontId="0" fillId="4" borderId="0" xfId="0" applyNumberFormat="1" applyFill="1"/>
    <xf numFmtId="10" fontId="0" fillId="4" borderId="24" xfId="0" applyNumberFormat="1" applyFill="1" applyBorder="1"/>
    <xf numFmtId="2" fontId="0" fillId="0" borderId="24" xfId="0" applyNumberFormat="1" applyBorder="1"/>
    <xf numFmtId="10" fontId="0" fillId="0" borderId="24" xfId="0" applyNumberFormat="1" applyBorder="1"/>
    <xf numFmtId="0" fontId="0" fillId="0" borderId="53" xfId="0" applyBorder="1"/>
    <xf numFmtId="0" fontId="20" fillId="0" borderId="19" xfId="0" applyFont="1" applyBorder="1" applyAlignment="1">
      <alignment horizontal="left"/>
    </xf>
    <xf numFmtId="0" fontId="24" fillId="8" borderId="0" xfId="0" applyFont="1" applyFill="1"/>
    <xf numFmtId="0" fontId="0" fillId="8" borderId="19" xfId="0" applyFill="1" applyBorder="1"/>
    <xf numFmtId="0" fontId="0" fillId="3" borderId="10" xfId="0" applyFill="1" applyBorder="1" applyAlignment="1">
      <alignment horizontal="center"/>
    </xf>
    <xf numFmtId="0" fontId="0" fillId="3" borderId="27" xfId="0" applyFill="1" applyBorder="1"/>
    <xf numFmtId="0" fontId="0" fillId="24" borderId="14" xfId="0" applyFill="1" applyBorder="1" applyAlignment="1">
      <alignment horizontal="center"/>
    </xf>
    <xf numFmtId="0" fontId="0" fillId="24" borderId="10" xfId="0" applyFill="1" applyBorder="1" applyAlignment="1">
      <alignment horizontal="center"/>
    </xf>
    <xf numFmtId="0" fontId="20" fillId="0" borderId="11" xfId="0" applyFont="1" applyBorder="1"/>
    <xf numFmtId="0" fontId="20" fillId="25" borderId="10" xfId="0" applyFont="1" applyFill="1" applyBorder="1"/>
    <xf numFmtId="0" fontId="20" fillId="22" borderId="10" xfId="0" applyFont="1" applyFill="1" applyBorder="1"/>
    <xf numFmtId="173" fontId="0" fillId="0" borderId="0" xfId="0" applyNumberFormat="1"/>
    <xf numFmtId="173" fontId="0" fillId="25" borderId="0" xfId="0" applyNumberFormat="1" applyFill="1"/>
    <xf numFmtId="0" fontId="0" fillId="25" borderId="24" xfId="0" applyFill="1" applyBorder="1"/>
    <xf numFmtId="173" fontId="0" fillId="25" borderId="24" xfId="0" applyNumberFormat="1" applyFill="1" applyBorder="1"/>
    <xf numFmtId="10" fontId="0" fillId="22" borderId="0" xfId="0" applyNumberFormat="1" applyFill="1"/>
    <xf numFmtId="0" fontId="20" fillId="4" borderId="12" xfId="0" applyFont="1" applyFill="1" applyBorder="1" applyAlignment="1">
      <alignment horizontal="center" wrapText="1"/>
    </xf>
    <xf numFmtId="0" fontId="20" fillId="4" borderId="12" xfId="0" applyFont="1" applyFill="1" applyBorder="1" applyAlignment="1">
      <alignment horizontal="center"/>
    </xf>
    <xf numFmtId="0" fontId="19" fillId="8" borderId="0" xfId="0" applyFont="1" applyFill="1" applyAlignment="1">
      <alignment horizontal="center"/>
    </xf>
    <xf numFmtId="0" fontId="14" fillId="0" borderId="13" xfId="0" applyFont="1" applyBorder="1" applyAlignment="1">
      <alignment horizontal="center"/>
    </xf>
    <xf numFmtId="0" fontId="0" fillId="8" borderId="27" xfId="0" applyFill="1" applyBorder="1" applyAlignment="1">
      <alignment horizontal="left" vertical="top" wrapText="1"/>
    </xf>
    <xf numFmtId="0" fontId="22" fillId="0" borderId="0" xfId="0" applyFont="1" applyAlignment="1">
      <alignment horizontal="center"/>
    </xf>
    <xf numFmtId="0" fontId="0" fillId="0" borderId="0" xfId="0" applyAlignment="1">
      <alignment horizontal="center" wrapText="1"/>
    </xf>
    <xf numFmtId="0" fontId="29" fillId="0" borderId="0" xfId="0" applyFont="1" applyAlignment="1">
      <alignment horizontal="center" vertical="center" wrapText="1"/>
    </xf>
    <xf numFmtId="0" fontId="22" fillId="8" borderId="0" xfId="0" applyFont="1" applyFill="1" applyAlignment="1">
      <alignment horizontal="center"/>
    </xf>
    <xf numFmtId="0" fontId="22" fillId="8" borderId="13" xfId="0" applyFont="1" applyFill="1" applyBorder="1" applyAlignment="1">
      <alignment horizontal="center"/>
    </xf>
    <xf numFmtId="0" fontId="22" fillId="8" borderId="12" xfId="0" applyFont="1" applyFill="1" applyBorder="1" applyAlignment="1">
      <alignment horizontal="center"/>
    </xf>
    <xf numFmtId="0" fontId="0" fillId="8" borderId="46" xfId="0" applyFill="1" applyBorder="1" applyAlignment="1">
      <alignment horizontal="center" vertical="center"/>
    </xf>
    <xf numFmtId="0" fontId="24" fillId="0" borderId="13" xfId="0" applyFont="1" applyBorder="1" applyAlignment="1">
      <alignment horizontal="center" vertical="top" wrapText="1"/>
    </xf>
    <xf numFmtId="0" fontId="20" fillId="0" borderId="0" xfId="0" applyFont="1" applyAlignment="1">
      <alignment horizontal="center"/>
    </xf>
    <xf numFmtId="0" fontId="30" fillId="8" borderId="0" xfId="0" applyFont="1" applyFill="1" applyAlignment="1">
      <alignment horizontal="center" vertical="center" wrapText="1"/>
    </xf>
    <xf numFmtId="0" fontId="0" fillId="8" borderId="0" xfId="0" applyFill="1" applyAlignment="1">
      <alignment horizontal="left" wrapText="1"/>
    </xf>
    <xf numFmtId="0" fontId="0" fillId="4" borderId="12" xfId="0" applyFill="1" applyBorder="1" applyAlignment="1">
      <alignment horizontal="center"/>
    </xf>
    <xf numFmtId="0" fontId="33" fillId="0" borderId="0" xfId="0" applyFont="1" applyAlignment="1">
      <alignment horizontal="center" vertical="top"/>
    </xf>
    <xf numFmtId="0" fontId="30" fillId="8" borderId="12" xfId="0" applyFont="1" applyFill="1" applyBorder="1" applyAlignment="1">
      <alignment horizontal="left" wrapText="1"/>
    </xf>
    <xf numFmtId="0" fontId="22" fillId="8" borderId="24" xfId="0" applyFont="1" applyFill="1" applyBorder="1" applyAlignment="1">
      <alignment horizontal="center"/>
    </xf>
    <xf numFmtId="0" fontId="20" fillId="8" borderId="46" xfId="0" applyFont="1" applyFill="1" applyBorder="1" applyAlignment="1">
      <alignment horizontal="center"/>
    </xf>
    <xf numFmtId="0" fontId="30" fillId="8" borderId="29" xfId="0" applyFont="1" applyFill="1" applyBorder="1" applyAlignment="1">
      <alignment horizontal="center" vertical="center" wrapText="1"/>
    </xf>
    <xf numFmtId="0" fontId="30" fillId="8" borderId="0" xfId="0" applyFont="1" applyFill="1" applyAlignment="1">
      <alignment vertical="top" wrapText="1"/>
    </xf>
    <xf numFmtId="0" fontId="0" fillId="8" borderId="10" xfId="0" applyFill="1" applyBorder="1" applyAlignment="1">
      <alignment horizontal="center" vertical="center" wrapText="1"/>
    </xf>
    <xf numFmtId="0" fontId="35" fillId="8" borderId="0" xfId="0" applyFont="1" applyFill="1" applyAlignment="1">
      <alignment horizontal="center" vertical="top" wrapText="1"/>
    </xf>
    <xf numFmtId="0" fontId="30" fillId="8" borderId="0" xfId="0" applyFont="1" applyFill="1" applyAlignment="1">
      <alignment horizontal="center" vertical="top" wrapText="1"/>
    </xf>
    <xf numFmtId="0" fontId="0" fillId="4" borderId="12" xfId="0" applyFill="1" applyBorder="1" applyAlignment="1">
      <alignment horizontal="center" vertical="top" wrapText="1"/>
    </xf>
    <xf numFmtId="0" fontId="0" fillId="0" borderId="0" xfId="0" applyAlignment="1">
      <alignment horizontal="center"/>
    </xf>
    <xf numFmtId="0" fontId="30" fillId="8" borderId="20" xfId="0" applyFont="1" applyFill="1" applyBorder="1" applyAlignment="1">
      <alignment horizontal="center" vertical="center" wrapText="1"/>
    </xf>
    <xf numFmtId="0" fontId="0" fillId="0" borderId="19" xfId="0" applyBorder="1" applyAlignment="1">
      <alignment horizontal="left" wrapText="1"/>
    </xf>
    <xf numFmtId="0" fontId="0" fillId="25" borderId="0" xfId="0" applyFill="1" applyAlignment="1">
      <alignment horizontal="left" wrapText="1"/>
    </xf>
    <xf numFmtId="0" fontId="0" fillId="0" borderId="0" xfId="0" applyAlignment="1">
      <alignment horizontal="left" vertical="center" wrapText="1"/>
    </xf>
    <xf numFmtId="0" fontId="35" fillId="8" borderId="0" xfId="0" applyFont="1" applyFill="1" applyAlignment="1">
      <alignment horizontal="center"/>
    </xf>
    <xf numFmtId="0" fontId="34" fillId="0" borderId="28" xfId="0" applyFont="1" applyBorder="1" applyAlignment="1">
      <alignment horizontal="center"/>
    </xf>
    <xf numFmtId="0" fontId="0" fillId="3" borderId="0" xfId="0" applyFill="1" applyAlignment="1">
      <alignment horizontal="center"/>
    </xf>
    <xf numFmtId="0" fontId="20" fillId="0" borderId="0" xfId="0" applyFont="1" applyAlignment="1">
      <alignment wrapText="1"/>
    </xf>
    <xf numFmtId="0" fontId="20" fillId="0" borderId="0" xfId="0" applyFont="1" applyAlignment="1">
      <alignment horizontal="left" wrapText="1"/>
    </xf>
    <xf numFmtId="0" fontId="35" fillId="8" borderId="0" xfId="0" applyFont="1" applyFill="1" applyAlignment="1">
      <alignment horizontal="left" wrapText="1"/>
    </xf>
    <xf numFmtId="0" fontId="0" fillId="8" borderId="12" xfId="0" applyFill="1" applyBorder="1" applyAlignment="1">
      <alignment horizontal="center"/>
    </xf>
    <xf numFmtId="0" fontId="0" fillId="8" borderId="0" xfId="0" applyFill="1" applyAlignment="1">
      <alignment horizontal="center" wrapText="1"/>
    </xf>
    <xf numFmtId="0" fontId="33" fillId="8" borderId="0" xfId="0" applyFont="1" applyFill="1" applyAlignment="1">
      <alignment horizontal="center" vertical="center" wrapText="1"/>
    </xf>
    <xf numFmtId="0" fontId="20" fillId="8" borderId="0" xfId="0" applyFont="1" applyFill="1" applyAlignment="1">
      <alignment horizontal="center" vertical="center" wrapText="1"/>
    </xf>
    <xf numFmtId="0" fontId="0" fillId="8" borderId="0" xfId="0" applyFill="1" applyAlignment="1">
      <alignment horizontal="center"/>
    </xf>
    <xf numFmtId="0" fontId="46" fillId="8" borderId="12" xfId="0" applyFont="1" applyFill="1" applyBorder="1" applyAlignment="1">
      <alignment horizontal="center"/>
    </xf>
    <xf numFmtId="0" fontId="20" fillId="8" borderId="43" xfId="0" applyFont="1" applyFill="1" applyBorder="1" applyAlignment="1">
      <alignment horizontal="center"/>
    </xf>
    <xf numFmtId="0" fontId="29" fillId="8" borderId="30" xfId="0" applyFont="1" applyFill="1" applyBorder="1" applyAlignment="1">
      <alignment horizontal="center" vertical="center" textRotation="90"/>
    </xf>
    <xf numFmtId="0" fontId="0" fillId="4" borderId="10" xfId="0" applyFill="1" applyBorder="1" applyAlignment="1">
      <alignment horizontal="center"/>
    </xf>
    <xf numFmtId="0" fontId="19" fillId="8" borderId="12" xfId="0" applyFont="1" applyFill="1" applyBorder="1" applyAlignment="1">
      <alignment horizontal="center"/>
    </xf>
    <xf numFmtId="0" fontId="20" fillId="8" borderId="19" xfId="0" applyFont="1" applyFill="1" applyBorder="1" applyAlignment="1">
      <alignment horizontal="center" vertical="center" textRotation="90"/>
    </xf>
    <xf numFmtId="0" fontId="20" fillId="0" borderId="23" xfId="0" applyFont="1" applyBorder="1" applyAlignment="1">
      <alignment horizontal="center"/>
    </xf>
    <xf numFmtId="0" fontId="20" fillId="0" borderId="15" xfId="0" applyFont="1" applyBorder="1" applyAlignment="1">
      <alignment horizontal="center"/>
    </xf>
    <xf numFmtId="0" fontId="20" fillId="8" borderId="12" xfId="0" applyFont="1" applyFill="1" applyBorder="1" applyAlignment="1">
      <alignment horizontal="center"/>
    </xf>
    <xf numFmtId="0" fontId="0" fillId="0" borderId="54" xfId="0" applyBorder="1" applyAlignment="1">
      <alignment horizontal="center"/>
    </xf>
    <xf numFmtId="0" fontId="0" fillId="0" borderId="13" xfId="0" applyBorder="1" applyAlignment="1">
      <alignment horizontal="center"/>
    </xf>
    <xf numFmtId="0" fontId="0" fillId="24" borderId="27" xfId="0" applyFill="1" applyBorder="1" applyAlignment="1">
      <alignment horizontal="center"/>
    </xf>
  </cellXfs>
  <cellStyles count="46">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Comma" xfId="28" builtinId="3"/>
    <cellStyle name="Explanatory Text" xfId="29" builtinId="53" customBuiltin="1"/>
    <cellStyle name="Good" xfId="30" builtinId="26" customBuiltin="1"/>
    <cellStyle name="Heading 1" xfId="31" builtinId="16" customBuiltin="1"/>
    <cellStyle name="Heading 2" xfId="32" builtinId="17" customBuiltin="1"/>
    <cellStyle name="Heading 3" xfId="33" builtinId="18" customBuiltin="1"/>
    <cellStyle name="Heading 4" xfId="34" builtinId="19" customBuiltin="1"/>
    <cellStyle name="Input" xfId="35" builtinId="20" customBuiltin="1"/>
    <cellStyle name="Linked Cell" xfId="36" builtinId="24" customBuiltin="1"/>
    <cellStyle name="Neutral" xfId="37" builtinId="28" customBuiltin="1"/>
    <cellStyle name="Normal" xfId="0" builtinId="0"/>
    <cellStyle name="Normal_finance" xfId="38" xr:uid="{00000000-0005-0000-0000-000026000000}"/>
    <cellStyle name="Normal_Regression" xfId="39" xr:uid="{00000000-0005-0000-0000-000027000000}"/>
    <cellStyle name="Note" xfId="40" builtinId="10" customBuiltin="1"/>
    <cellStyle name="Output" xfId="41" builtinId="21" customBuiltin="1"/>
    <cellStyle name="Percent" xfId="42" builtinId="5"/>
    <cellStyle name="Title" xfId="43" builtinId="15" customBuiltin="1"/>
    <cellStyle name="Total" xfId="44" builtinId="25" customBuiltin="1"/>
    <cellStyle name="Warning Text" xfId="45"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drawings/_rels/drawing13.xml.rels><?xml version="1.0" encoding="UTF-8" standalone="yes"?>
<Relationships xmlns="http://schemas.openxmlformats.org/package/2006/relationships"><Relationship Id="rId1" Type="http://schemas.openxmlformats.org/officeDocument/2006/relationships/image" Target="../media/image4.png"/></Relationships>
</file>

<file path=xl/drawings/_rels/drawing14.xml.rels><?xml version="1.0" encoding="UTF-8" standalone="yes"?>
<Relationships xmlns="http://schemas.openxmlformats.org/package/2006/relationships"><Relationship Id="rId1" Type="http://schemas.openxmlformats.org/officeDocument/2006/relationships/image" Target="../media/image5.png"/></Relationships>
</file>

<file path=xl/drawings/_rels/drawing7.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drawing8.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2</xdr:col>
      <xdr:colOff>387350</xdr:colOff>
      <xdr:row>40</xdr:row>
      <xdr:rowOff>57150</xdr:rowOff>
    </xdr:from>
    <xdr:to>
      <xdr:col>5</xdr:col>
      <xdr:colOff>438150</xdr:colOff>
      <xdr:row>42</xdr:row>
      <xdr:rowOff>133350</xdr:rowOff>
    </xdr:to>
    <xdr:sp macro="" textlink="" fLocksText="0">
      <xdr:nvSpPr>
        <xdr:cNvPr id="1025" name="Text Box 1">
          <a:extLst>
            <a:ext uri="{FF2B5EF4-FFF2-40B4-BE49-F238E27FC236}">
              <a16:creationId xmlns:a16="http://schemas.microsoft.com/office/drawing/2014/main" id="{00000000-0008-0000-0000-000001040000}"/>
            </a:ext>
          </a:extLst>
        </xdr:cNvPr>
        <xdr:cNvSpPr txBox="1">
          <a:spLocks noChangeArrowheads="1"/>
        </xdr:cNvSpPr>
      </xdr:nvSpPr>
      <xdr:spPr bwMode="auto">
        <a:xfrm>
          <a:off x="4654550" y="6788150"/>
          <a:ext cx="3543300" cy="393700"/>
        </a:xfrm>
        <a:prstGeom prst="rect">
          <a:avLst/>
        </a:prstGeom>
        <a:solidFill>
          <a:srgbClr val="FF99CC"/>
        </a:solidFill>
        <a:ln w="9360">
          <a:solidFill>
            <a:srgbClr val="000000"/>
          </a:solidFill>
          <a:miter lim="800000"/>
          <a:headEnd/>
          <a:tailEnd/>
        </a:ln>
        <a:effectLst/>
      </xdr:spPr>
      <xdr:txBody>
        <a:bodyPr vertOverflow="clip" wrap="square" lIns="27360" tIns="22680" rIns="0" bIns="0" anchor="t"/>
        <a:lstStyle/>
        <a:p>
          <a:pPr algn="l" rtl="0">
            <a:defRPr sz="1000"/>
          </a:pPr>
          <a:r>
            <a:rPr lang="en-IN" sz="1000" b="0" i="0" u="none" strike="noStrike" baseline="0">
              <a:solidFill>
                <a:srgbClr val="000000"/>
              </a:solidFill>
              <a:latin typeface="Arial"/>
              <a:cs typeface="Arial"/>
            </a:rPr>
            <a:t>if no answer consider the possibility of thinking for yourself.  The answer might be simple, IE:  0 or 1</a:t>
          </a:r>
        </a:p>
      </xdr:txBody>
    </xdr:sp>
    <xdr:clientData/>
  </xdr:twoCellAnchor>
  <xdr:twoCellAnchor>
    <xdr:from>
      <xdr:col>2</xdr:col>
      <xdr:colOff>685800</xdr:colOff>
      <xdr:row>6</xdr:row>
      <xdr:rowOff>120650</xdr:rowOff>
    </xdr:from>
    <xdr:to>
      <xdr:col>3</xdr:col>
      <xdr:colOff>438150</xdr:colOff>
      <xdr:row>9</xdr:row>
      <xdr:rowOff>38100</xdr:rowOff>
    </xdr:to>
    <xdr:sp macro="" textlink="" fLocksText="0">
      <xdr:nvSpPr>
        <xdr:cNvPr id="1026" name="AutoShape 2">
          <a:extLst>
            <a:ext uri="{FF2B5EF4-FFF2-40B4-BE49-F238E27FC236}">
              <a16:creationId xmlns:a16="http://schemas.microsoft.com/office/drawing/2014/main" id="{00000000-0008-0000-0000-000002040000}"/>
            </a:ext>
          </a:extLst>
        </xdr:cNvPr>
        <xdr:cNvSpPr>
          <a:spLocks/>
        </xdr:cNvSpPr>
      </xdr:nvSpPr>
      <xdr:spPr bwMode="auto">
        <a:xfrm>
          <a:off x="4953000" y="1212850"/>
          <a:ext cx="876300" cy="400050"/>
        </a:xfrm>
        <a:prstGeom prst="borderCallout1">
          <a:avLst>
            <a:gd name="adj1" fmla="val 28569"/>
            <a:gd name="adj2" fmla="val -9093"/>
            <a:gd name="adj3" fmla="val 28569"/>
            <a:gd name="adj4" fmla="val -98866"/>
          </a:avLst>
        </a:prstGeom>
        <a:solidFill>
          <a:srgbClr val="FF99CC"/>
        </a:solidFill>
        <a:ln w="19080">
          <a:solidFill>
            <a:srgbClr val="000000"/>
          </a:solidFill>
          <a:miter lim="800000"/>
          <a:headEnd/>
          <a:tailEnd type="triangle" w="med" len="med"/>
        </a:ln>
        <a:effectLst/>
      </xdr:spPr>
      <xdr:txBody>
        <a:bodyPr vertOverflow="clip" wrap="square" lIns="27360" tIns="22680" rIns="0" bIns="0" anchor="t"/>
        <a:lstStyle/>
        <a:p>
          <a:pPr algn="l" rtl="0">
            <a:defRPr sz="1000"/>
          </a:pPr>
          <a:r>
            <a:rPr lang="en-IN" sz="1000" b="0" i="0" u="none" strike="noStrike" baseline="0">
              <a:solidFill>
                <a:srgbClr val="000000"/>
              </a:solidFill>
              <a:latin typeface="Arial"/>
              <a:cs typeface="Arial"/>
            </a:rPr>
            <a:t>Enter % as a number!!</a:t>
          </a: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1</xdr:col>
      <xdr:colOff>831850</xdr:colOff>
      <xdr:row>27</xdr:row>
      <xdr:rowOff>69850</xdr:rowOff>
    </xdr:from>
    <xdr:to>
      <xdr:col>2</xdr:col>
      <xdr:colOff>584200</xdr:colOff>
      <xdr:row>27</xdr:row>
      <xdr:rowOff>69850</xdr:rowOff>
    </xdr:to>
    <xdr:sp macro="" textlink="">
      <xdr:nvSpPr>
        <xdr:cNvPr id="12296" name="Line 1">
          <a:extLst>
            <a:ext uri="{FF2B5EF4-FFF2-40B4-BE49-F238E27FC236}">
              <a16:creationId xmlns:a16="http://schemas.microsoft.com/office/drawing/2014/main" id="{00000000-0008-0000-0B00-000008300000}"/>
            </a:ext>
          </a:extLst>
        </xdr:cNvPr>
        <xdr:cNvSpPr>
          <a:spLocks noChangeShapeType="1"/>
        </xdr:cNvSpPr>
      </xdr:nvSpPr>
      <xdr:spPr bwMode="auto">
        <a:xfrm>
          <a:off x="2578100" y="4508500"/>
          <a:ext cx="692150" cy="0"/>
        </a:xfrm>
        <a:prstGeom prst="line">
          <a:avLst/>
        </a:prstGeom>
        <a:noFill/>
        <a:ln w="9360">
          <a:solidFill>
            <a:srgbClr val="000000"/>
          </a:solidFill>
          <a:miter lim="800000"/>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2</xdr:col>
      <xdr:colOff>44450</xdr:colOff>
      <xdr:row>22</xdr:row>
      <xdr:rowOff>101600</xdr:rowOff>
    </xdr:from>
    <xdr:to>
      <xdr:col>5</xdr:col>
      <xdr:colOff>228600</xdr:colOff>
      <xdr:row>23</xdr:row>
      <xdr:rowOff>101600</xdr:rowOff>
    </xdr:to>
    <xdr:sp macro="" textlink="">
      <xdr:nvSpPr>
        <xdr:cNvPr id="12297" name="AutoShape 2">
          <a:extLst>
            <a:ext uri="{FF2B5EF4-FFF2-40B4-BE49-F238E27FC236}">
              <a16:creationId xmlns:a16="http://schemas.microsoft.com/office/drawing/2014/main" id="{00000000-0008-0000-0B00-000009300000}"/>
            </a:ext>
          </a:extLst>
        </xdr:cNvPr>
        <xdr:cNvSpPr>
          <a:spLocks/>
        </xdr:cNvSpPr>
      </xdr:nvSpPr>
      <xdr:spPr bwMode="auto">
        <a:xfrm rot="-360000">
          <a:off x="2730500" y="3702050"/>
          <a:ext cx="2012950" cy="158750"/>
        </a:xfrm>
        <a:custGeom>
          <a:avLst/>
          <a:gdLst>
            <a:gd name="T0" fmla="*/ 2147483646 w 174"/>
            <a:gd name="T1" fmla="*/ 563309358 h 37"/>
            <a:gd name="T2" fmla="*/ 2147483646 w 174"/>
            <a:gd name="T3" fmla="*/ 18775405 h 37"/>
            <a:gd name="T4" fmla="*/ 0 w 174"/>
            <a:gd name="T5" fmla="*/ 694745777 h 37"/>
            <a:gd name="T6" fmla="*/ 0 60000 65536"/>
            <a:gd name="T7" fmla="*/ 0 60000 65536"/>
            <a:gd name="T8" fmla="*/ 0 60000 65536"/>
            <a:gd name="T9" fmla="*/ 0 w 174"/>
            <a:gd name="T10" fmla="*/ 0 h 37"/>
            <a:gd name="T11" fmla="*/ 174 w 174"/>
            <a:gd name="T12" fmla="*/ 37 h 37"/>
          </a:gdLst>
          <a:ahLst/>
          <a:cxnLst>
            <a:cxn ang="T6">
              <a:pos x="T0" y="T1"/>
            </a:cxn>
            <a:cxn ang="T7">
              <a:pos x="T2" y="T3"/>
            </a:cxn>
            <a:cxn ang="T8">
              <a:pos x="T4" y="T5"/>
            </a:cxn>
          </a:cxnLst>
          <a:rect l="T9" t="T10" r="T11" b="T12"/>
          <a:pathLst>
            <a:path w="174" h="37">
              <a:moveTo>
                <a:pt x="174" y="30"/>
              </a:moveTo>
              <a:cubicBezTo>
                <a:pt x="140" y="15"/>
                <a:pt x="106" y="0"/>
                <a:pt x="77" y="1"/>
              </a:cubicBezTo>
              <a:cubicBezTo>
                <a:pt x="48" y="2"/>
                <a:pt x="13" y="31"/>
                <a:pt x="0" y="37"/>
              </a:cubicBezTo>
            </a:path>
          </a:pathLst>
        </a:custGeom>
        <a:noFill/>
        <a:ln w="9360">
          <a:solidFill>
            <a:srgbClr val="000000"/>
          </a:solidFill>
          <a:round/>
          <a:headEnd/>
          <a:tailEnd type="triangle" w="med" len="me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2</xdr:col>
      <xdr:colOff>44450</xdr:colOff>
      <xdr:row>20</xdr:row>
      <xdr:rowOff>120650</xdr:rowOff>
    </xdr:from>
    <xdr:to>
      <xdr:col>5</xdr:col>
      <xdr:colOff>247650</xdr:colOff>
      <xdr:row>21</xdr:row>
      <xdr:rowOff>133350</xdr:rowOff>
    </xdr:to>
    <xdr:sp macro="" textlink="">
      <xdr:nvSpPr>
        <xdr:cNvPr id="12298" name="AutoShape 3">
          <a:extLst>
            <a:ext uri="{FF2B5EF4-FFF2-40B4-BE49-F238E27FC236}">
              <a16:creationId xmlns:a16="http://schemas.microsoft.com/office/drawing/2014/main" id="{00000000-0008-0000-0B00-00000A300000}"/>
            </a:ext>
          </a:extLst>
        </xdr:cNvPr>
        <xdr:cNvSpPr>
          <a:spLocks/>
        </xdr:cNvSpPr>
      </xdr:nvSpPr>
      <xdr:spPr bwMode="auto">
        <a:xfrm rot="-9780000">
          <a:off x="2730500" y="3403600"/>
          <a:ext cx="2032000" cy="171450"/>
        </a:xfrm>
        <a:custGeom>
          <a:avLst/>
          <a:gdLst>
            <a:gd name="T0" fmla="*/ 2147483646 w 174"/>
            <a:gd name="T1" fmla="*/ 644156185 h 37"/>
            <a:gd name="T2" fmla="*/ 2147483646 w 174"/>
            <a:gd name="T3" fmla="*/ 21472954 h 37"/>
            <a:gd name="T4" fmla="*/ 0 w 174"/>
            <a:gd name="T5" fmla="*/ 794462230 h 37"/>
            <a:gd name="T6" fmla="*/ 0 60000 65536"/>
            <a:gd name="T7" fmla="*/ 0 60000 65536"/>
            <a:gd name="T8" fmla="*/ 0 60000 65536"/>
            <a:gd name="T9" fmla="*/ 0 w 174"/>
            <a:gd name="T10" fmla="*/ 0 h 37"/>
            <a:gd name="T11" fmla="*/ 174 w 174"/>
            <a:gd name="T12" fmla="*/ 37 h 37"/>
          </a:gdLst>
          <a:ahLst/>
          <a:cxnLst>
            <a:cxn ang="T6">
              <a:pos x="T0" y="T1"/>
            </a:cxn>
            <a:cxn ang="T7">
              <a:pos x="T2" y="T3"/>
            </a:cxn>
            <a:cxn ang="T8">
              <a:pos x="T4" y="T5"/>
            </a:cxn>
          </a:cxnLst>
          <a:rect l="T9" t="T10" r="T11" b="T12"/>
          <a:pathLst>
            <a:path w="174" h="37">
              <a:moveTo>
                <a:pt x="174" y="30"/>
              </a:moveTo>
              <a:cubicBezTo>
                <a:pt x="140" y="15"/>
                <a:pt x="106" y="0"/>
                <a:pt x="77" y="1"/>
              </a:cubicBezTo>
              <a:cubicBezTo>
                <a:pt x="48" y="2"/>
                <a:pt x="13" y="31"/>
                <a:pt x="0" y="37"/>
              </a:cubicBezTo>
            </a:path>
          </a:pathLst>
        </a:custGeom>
        <a:noFill/>
        <a:ln w="9360">
          <a:solidFill>
            <a:srgbClr val="000000"/>
          </a:solidFill>
          <a:round/>
          <a:headEnd type="triangle" w="med" len="me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2</xdr:col>
      <xdr:colOff>31750</xdr:colOff>
      <xdr:row>8</xdr:row>
      <xdr:rowOff>6350</xdr:rowOff>
    </xdr:from>
    <xdr:to>
      <xdr:col>5</xdr:col>
      <xdr:colOff>209550</xdr:colOff>
      <xdr:row>9</xdr:row>
      <xdr:rowOff>6350</xdr:rowOff>
    </xdr:to>
    <xdr:sp macro="" textlink="">
      <xdr:nvSpPr>
        <xdr:cNvPr id="12299" name="AutoShape 4">
          <a:extLst>
            <a:ext uri="{FF2B5EF4-FFF2-40B4-BE49-F238E27FC236}">
              <a16:creationId xmlns:a16="http://schemas.microsoft.com/office/drawing/2014/main" id="{00000000-0008-0000-0B00-00000B300000}"/>
            </a:ext>
          </a:extLst>
        </xdr:cNvPr>
        <xdr:cNvSpPr>
          <a:spLocks/>
        </xdr:cNvSpPr>
      </xdr:nvSpPr>
      <xdr:spPr bwMode="auto">
        <a:xfrm rot="-360000">
          <a:off x="2717800" y="1333500"/>
          <a:ext cx="2006600" cy="158750"/>
        </a:xfrm>
        <a:custGeom>
          <a:avLst/>
          <a:gdLst>
            <a:gd name="T0" fmla="*/ 2147483646 w 174"/>
            <a:gd name="T1" fmla="*/ 563309358 h 37"/>
            <a:gd name="T2" fmla="*/ 2147483646 w 174"/>
            <a:gd name="T3" fmla="*/ 18775405 h 37"/>
            <a:gd name="T4" fmla="*/ 0 w 174"/>
            <a:gd name="T5" fmla="*/ 694745777 h 37"/>
            <a:gd name="T6" fmla="*/ 0 60000 65536"/>
            <a:gd name="T7" fmla="*/ 0 60000 65536"/>
            <a:gd name="T8" fmla="*/ 0 60000 65536"/>
            <a:gd name="T9" fmla="*/ 0 w 174"/>
            <a:gd name="T10" fmla="*/ 0 h 37"/>
            <a:gd name="T11" fmla="*/ 174 w 174"/>
            <a:gd name="T12" fmla="*/ 37 h 37"/>
          </a:gdLst>
          <a:ahLst/>
          <a:cxnLst>
            <a:cxn ang="T6">
              <a:pos x="T0" y="T1"/>
            </a:cxn>
            <a:cxn ang="T7">
              <a:pos x="T2" y="T3"/>
            </a:cxn>
            <a:cxn ang="T8">
              <a:pos x="T4" y="T5"/>
            </a:cxn>
          </a:cxnLst>
          <a:rect l="T9" t="T10" r="T11" b="T12"/>
          <a:pathLst>
            <a:path w="174" h="37">
              <a:moveTo>
                <a:pt x="174" y="30"/>
              </a:moveTo>
              <a:cubicBezTo>
                <a:pt x="140" y="15"/>
                <a:pt x="106" y="0"/>
                <a:pt x="77" y="1"/>
              </a:cubicBezTo>
              <a:cubicBezTo>
                <a:pt x="48" y="2"/>
                <a:pt x="13" y="31"/>
                <a:pt x="0" y="37"/>
              </a:cubicBezTo>
            </a:path>
          </a:pathLst>
        </a:custGeom>
        <a:noFill/>
        <a:ln w="9360">
          <a:solidFill>
            <a:srgbClr val="000000"/>
          </a:solidFill>
          <a:round/>
          <a:headEnd/>
          <a:tailEnd type="triangle" w="med" len="me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xdr:col>
      <xdr:colOff>927100</xdr:colOff>
      <xdr:row>6</xdr:row>
      <xdr:rowOff>25400</xdr:rowOff>
    </xdr:from>
    <xdr:to>
      <xdr:col>5</xdr:col>
      <xdr:colOff>190500</xdr:colOff>
      <xdr:row>7</xdr:row>
      <xdr:rowOff>38100</xdr:rowOff>
    </xdr:to>
    <xdr:sp macro="" textlink="">
      <xdr:nvSpPr>
        <xdr:cNvPr id="12300" name="AutoShape 5">
          <a:extLst>
            <a:ext uri="{FF2B5EF4-FFF2-40B4-BE49-F238E27FC236}">
              <a16:creationId xmlns:a16="http://schemas.microsoft.com/office/drawing/2014/main" id="{00000000-0008-0000-0B00-00000C300000}"/>
            </a:ext>
          </a:extLst>
        </xdr:cNvPr>
        <xdr:cNvSpPr>
          <a:spLocks/>
        </xdr:cNvSpPr>
      </xdr:nvSpPr>
      <xdr:spPr bwMode="auto">
        <a:xfrm rot="-9780000">
          <a:off x="2673350" y="1028700"/>
          <a:ext cx="2032000" cy="171450"/>
        </a:xfrm>
        <a:custGeom>
          <a:avLst/>
          <a:gdLst>
            <a:gd name="T0" fmla="*/ 2147483646 w 174"/>
            <a:gd name="T1" fmla="*/ 644156185 h 37"/>
            <a:gd name="T2" fmla="*/ 2147483646 w 174"/>
            <a:gd name="T3" fmla="*/ 21472954 h 37"/>
            <a:gd name="T4" fmla="*/ 0 w 174"/>
            <a:gd name="T5" fmla="*/ 794462230 h 37"/>
            <a:gd name="T6" fmla="*/ 0 60000 65536"/>
            <a:gd name="T7" fmla="*/ 0 60000 65536"/>
            <a:gd name="T8" fmla="*/ 0 60000 65536"/>
            <a:gd name="T9" fmla="*/ 0 w 174"/>
            <a:gd name="T10" fmla="*/ 0 h 37"/>
            <a:gd name="T11" fmla="*/ 174 w 174"/>
            <a:gd name="T12" fmla="*/ 37 h 37"/>
          </a:gdLst>
          <a:ahLst/>
          <a:cxnLst>
            <a:cxn ang="T6">
              <a:pos x="T0" y="T1"/>
            </a:cxn>
            <a:cxn ang="T7">
              <a:pos x="T2" y="T3"/>
            </a:cxn>
            <a:cxn ang="T8">
              <a:pos x="T4" y="T5"/>
            </a:cxn>
          </a:cxnLst>
          <a:rect l="T9" t="T10" r="T11" b="T12"/>
          <a:pathLst>
            <a:path w="174" h="37">
              <a:moveTo>
                <a:pt x="174" y="30"/>
              </a:moveTo>
              <a:cubicBezTo>
                <a:pt x="140" y="15"/>
                <a:pt x="106" y="0"/>
                <a:pt x="77" y="1"/>
              </a:cubicBezTo>
              <a:cubicBezTo>
                <a:pt x="48" y="2"/>
                <a:pt x="13" y="31"/>
                <a:pt x="0" y="37"/>
              </a:cubicBezTo>
            </a:path>
          </a:pathLst>
        </a:custGeom>
        <a:noFill/>
        <a:ln w="9360">
          <a:solidFill>
            <a:srgbClr val="000000"/>
          </a:solidFill>
          <a:round/>
          <a:headEnd type="triangle" w="med" len="me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3</xdr:col>
      <xdr:colOff>146050</xdr:colOff>
      <xdr:row>5</xdr:row>
      <xdr:rowOff>44450</xdr:rowOff>
    </xdr:from>
    <xdr:to>
      <xdr:col>9</xdr:col>
      <xdr:colOff>69850</xdr:colOff>
      <xdr:row>11</xdr:row>
      <xdr:rowOff>139700</xdr:rowOff>
    </xdr:to>
    <xdr:sp macro="" textlink="" fLocksText="0">
      <xdr:nvSpPr>
        <xdr:cNvPr id="12294" name="Text Box 6">
          <a:extLst>
            <a:ext uri="{FF2B5EF4-FFF2-40B4-BE49-F238E27FC236}">
              <a16:creationId xmlns:a16="http://schemas.microsoft.com/office/drawing/2014/main" id="{00000000-0008-0000-0B00-000006300000}"/>
            </a:ext>
          </a:extLst>
        </xdr:cNvPr>
        <xdr:cNvSpPr txBox="1">
          <a:spLocks noChangeArrowheads="1"/>
        </xdr:cNvSpPr>
      </xdr:nvSpPr>
      <xdr:spPr bwMode="auto">
        <a:xfrm>
          <a:off x="3441700" y="889000"/>
          <a:ext cx="3657600" cy="1054100"/>
        </a:xfrm>
        <a:prstGeom prst="rect">
          <a:avLst/>
        </a:prstGeom>
        <a:solidFill>
          <a:srgbClr val="99CCFF"/>
        </a:solidFill>
        <a:ln w="9360">
          <a:solidFill>
            <a:srgbClr val="000000"/>
          </a:solidFill>
          <a:miter lim="800000"/>
          <a:headEnd/>
          <a:tailEnd/>
        </a:ln>
        <a:effectLst/>
      </xdr:spPr>
      <xdr:txBody>
        <a:bodyPr vertOverflow="clip" wrap="square" lIns="27360" tIns="22680" rIns="0" bIns="0" anchor="t"/>
        <a:lstStyle/>
        <a:p>
          <a:pPr algn="l" rtl="0">
            <a:lnSpc>
              <a:spcPts val="1100"/>
            </a:lnSpc>
            <a:defRPr sz="1000"/>
          </a:pPr>
          <a:r>
            <a:rPr lang="en-IN" sz="1000" b="0" i="0" u="sng" strike="noStrike" baseline="0">
              <a:solidFill>
                <a:srgbClr val="000000"/>
              </a:solidFill>
              <a:latin typeface="Arial"/>
              <a:cs typeface="Arial"/>
            </a:rPr>
            <a:t>Sample Question: </a:t>
          </a:r>
          <a:r>
            <a:rPr lang="en-IN" sz="1000" b="1" i="1" u="sng" strike="noStrike" baseline="0">
              <a:solidFill>
                <a:srgbClr val="000000"/>
              </a:solidFill>
              <a:latin typeface="Arial"/>
              <a:cs typeface="Arial"/>
            </a:rPr>
            <a:t>Present Value</a:t>
          </a:r>
        </a:p>
        <a:p>
          <a:pPr algn="l" rtl="0">
            <a:lnSpc>
              <a:spcPts val="1100"/>
            </a:lnSpc>
            <a:defRPr sz="1000"/>
          </a:pPr>
          <a:r>
            <a:rPr lang="en-IN" sz="1000" b="0" i="0" u="none" strike="noStrike" baseline="0">
              <a:solidFill>
                <a:srgbClr val="000000"/>
              </a:solidFill>
              <a:latin typeface="Arial"/>
              <a:cs typeface="Arial"/>
            </a:rPr>
            <a:t>A payment of $1558 is received every month for 21 months.  Given an annual interest rate of 13.700% what is the initial investment?  Please provide your answer to at least 3 significant digits.</a:t>
          </a:r>
        </a:p>
        <a:p>
          <a:pPr algn="l" rtl="0">
            <a:lnSpc>
              <a:spcPts val="1100"/>
            </a:lnSpc>
            <a:defRPr sz="1000"/>
          </a:pPr>
          <a:endParaRPr lang="en-IN" sz="1000" b="0" i="0" u="none" strike="noStrike" baseline="0">
            <a:solidFill>
              <a:srgbClr val="000000"/>
            </a:solidFill>
            <a:latin typeface="Arial"/>
            <a:cs typeface="Arial"/>
          </a:endParaRPr>
        </a:p>
        <a:p>
          <a:pPr algn="l" rtl="0">
            <a:lnSpc>
              <a:spcPts val="1000"/>
            </a:lnSpc>
            <a:defRPr sz="1000"/>
          </a:pPr>
          <a:r>
            <a:rPr lang="en-IN" sz="1000" b="0" i="0" u="none" strike="noStrike" baseline="0">
              <a:solidFill>
                <a:srgbClr val="000000"/>
              </a:solidFill>
              <a:latin typeface="Arial"/>
              <a:cs typeface="Arial"/>
            </a:rPr>
            <a:t>NOTE:  Use Monthly or Annual calculator based on requested data.</a:t>
          </a:r>
        </a:p>
      </xdr:txBody>
    </xdr:sp>
    <xdr:clientData/>
  </xdr:twoCellAnchor>
  <xdr:twoCellAnchor>
    <xdr:from>
      <xdr:col>3</xdr:col>
      <xdr:colOff>146050</xdr:colOff>
      <xdr:row>17</xdr:row>
      <xdr:rowOff>139700</xdr:rowOff>
    </xdr:from>
    <xdr:to>
      <xdr:col>9</xdr:col>
      <xdr:colOff>647700</xdr:colOff>
      <xdr:row>25</xdr:row>
      <xdr:rowOff>57150</xdr:rowOff>
    </xdr:to>
    <xdr:sp macro="" textlink="" fLocksText="0">
      <xdr:nvSpPr>
        <xdr:cNvPr id="12295" name="Text Box 7">
          <a:extLst>
            <a:ext uri="{FF2B5EF4-FFF2-40B4-BE49-F238E27FC236}">
              <a16:creationId xmlns:a16="http://schemas.microsoft.com/office/drawing/2014/main" id="{00000000-0008-0000-0B00-000007300000}"/>
            </a:ext>
          </a:extLst>
        </xdr:cNvPr>
        <xdr:cNvSpPr txBox="1">
          <a:spLocks noChangeArrowheads="1"/>
        </xdr:cNvSpPr>
      </xdr:nvSpPr>
      <xdr:spPr bwMode="auto">
        <a:xfrm>
          <a:off x="3441700" y="2940050"/>
          <a:ext cx="4235450" cy="1200150"/>
        </a:xfrm>
        <a:prstGeom prst="rect">
          <a:avLst/>
        </a:prstGeom>
        <a:solidFill>
          <a:srgbClr val="99CCFF"/>
        </a:solidFill>
        <a:ln w="9360">
          <a:solidFill>
            <a:srgbClr val="000000"/>
          </a:solidFill>
          <a:miter lim="800000"/>
          <a:headEnd/>
          <a:tailEnd/>
        </a:ln>
        <a:effectLst/>
      </xdr:spPr>
      <xdr:txBody>
        <a:bodyPr vertOverflow="clip" wrap="square" lIns="27360" tIns="22680" rIns="0" bIns="0" anchor="t"/>
        <a:lstStyle/>
        <a:p>
          <a:pPr algn="l" rtl="0">
            <a:defRPr sz="1000"/>
          </a:pPr>
          <a:r>
            <a:rPr lang="en-IN" sz="1000" b="0" i="0" u="sng" strike="noStrike" baseline="0">
              <a:solidFill>
                <a:srgbClr val="000000"/>
              </a:solidFill>
              <a:latin typeface="Arial"/>
              <a:cs typeface="Arial"/>
            </a:rPr>
            <a:t>Sample Question: </a:t>
          </a:r>
          <a:r>
            <a:rPr lang="en-IN" sz="1000" b="1" i="1" u="sng" strike="noStrike" baseline="0">
              <a:solidFill>
                <a:srgbClr val="000000"/>
              </a:solidFill>
              <a:latin typeface="Arial"/>
              <a:cs typeface="Arial"/>
            </a:rPr>
            <a:t>Payments </a:t>
          </a:r>
        </a:p>
        <a:p>
          <a:pPr algn="l" rtl="0">
            <a:defRPr sz="1000"/>
          </a:pPr>
          <a:r>
            <a:rPr lang="en-IN" sz="1000" b="0" i="0" u="none" strike="noStrike" baseline="0">
              <a:solidFill>
                <a:srgbClr val="000000"/>
              </a:solidFill>
              <a:latin typeface="Arial"/>
              <a:cs typeface="Arial"/>
            </a:rPr>
            <a:t>An initial investment of $7112 is made.  Given an annual interest rate of 13.600%,  receipts of what value must be received for 5 months to have a net present value of zero?  Please provide your answer to at least 3 significant digits.</a:t>
          </a:r>
        </a:p>
        <a:p>
          <a:pPr algn="l" rtl="0">
            <a:defRPr sz="1000"/>
          </a:pPr>
          <a:endParaRPr lang="en-IN" sz="1000" b="0" i="0" u="none" strike="noStrike" baseline="0">
            <a:solidFill>
              <a:srgbClr val="000000"/>
            </a:solidFill>
            <a:latin typeface="Arial"/>
            <a:cs typeface="Arial"/>
          </a:endParaRPr>
        </a:p>
        <a:p>
          <a:pPr algn="l" rtl="0">
            <a:defRPr sz="1000"/>
          </a:pPr>
          <a:r>
            <a:rPr lang="en-IN" sz="1000" b="1" i="0" u="none" strike="noStrike" baseline="0">
              <a:solidFill>
                <a:srgbClr val="000000"/>
              </a:solidFill>
              <a:latin typeface="Arial"/>
              <a:cs typeface="Arial"/>
            </a:rPr>
            <a:t>NOTE:</a:t>
          </a:r>
          <a:r>
            <a:rPr lang="en-IN" sz="1000" b="0" i="0" u="none" strike="noStrike" baseline="0">
              <a:solidFill>
                <a:srgbClr val="000000"/>
              </a:solidFill>
              <a:latin typeface="Arial"/>
              <a:cs typeface="Arial"/>
            </a:rPr>
            <a:t>  Use Monthly or Annual calculator based on requested data.</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9</xdr:col>
      <xdr:colOff>482600</xdr:colOff>
      <xdr:row>21</xdr:row>
      <xdr:rowOff>95250</xdr:rowOff>
    </xdr:from>
    <xdr:to>
      <xdr:col>10</xdr:col>
      <xdr:colOff>279400</xdr:colOff>
      <xdr:row>24</xdr:row>
      <xdr:rowOff>25400</xdr:rowOff>
    </xdr:to>
    <xdr:sp macro="" textlink="" fLocksText="0">
      <xdr:nvSpPr>
        <xdr:cNvPr id="14337" name="Oval 1">
          <a:extLst>
            <a:ext uri="{FF2B5EF4-FFF2-40B4-BE49-F238E27FC236}">
              <a16:creationId xmlns:a16="http://schemas.microsoft.com/office/drawing/2014/main" id="{00000000-0008-0000-0D00-000001380000}"/>
            </a:ext>
          </a:extLst>
        </xdr:cNvPr>
        <xdr:cNvSpPr>
          <a:spLocks noChangeArrowheads="1"/>
        </xdr:cNvSpPr>
      </xdr:nvSpPr>
      <xdr:spPr bwMode="auto">
        <a:xfrm>
          <a:off x="6807200" y="3848100"/>
          <a:ext cx="406400" cy="406400"/>
        </a:xfrm>
        <a:prstGeom prst="ellipse">
          <a:avLst/>
        </a:prstGeom>
        <a:solidFill>
          <a:srgbClr val="FFFFFF"/>
        </a:solidFill>
        <a:ln w="9360">
          <a:solidFill>
            <a:srgbClr val="000000"/>
          </a:solidFill>
          <a:miter lim="800000"/>
          <a:headEnd/>
          <a:tailEnd/>
        </a:ln>
        <a:effectLst/>
      </xdr:spPr>
      <xdr:txBody>
        <a:bodyPr vertOverflow="clip" wrap="square" lIns="27360" tIns="22680" rIns="27360" bIns="0" anchor="t"/>
        <a:lstStyle/>
        <a:p>
          <a:pPr algn="ctr" rtl="0">
            <a:defRPr sz="1000"/>
          </a:pPr>
          <a:r>
            <a:rPr lang="en-IN" sz="1000" b="0" i="0" u="none" strike="noStrike" baseline="0">
              <a:solidFill>
                <a:srgbClr val="000000"/>
              </a:solidFill>
              <a:latin typeface="Arial"/>
              <a:cs typeface="Arial"/>
            </a:rPr>
            <a:t>S</a:t>
          </a:r>
        </a:p>
      </xdr:txBody>
    </xdr:sp>
    <xdr:clientData/>
  </xdr:twoCellAnchor>
  <xdr:twoCellAnchor>
    <xdr:from>
      <xdr:col>11</xdr:col>
      <xdr:colOff>577850</xdr:colOff>
      <xdr:row>21</xdr:row>
      <xdr:rowOff>95250</xdr:rowOff>
    </xdr:from>
    <xdr:to>
      <xdr:col>12</xdr:col>
      <xdr:colOff>196850</xdr:colOff>
      <xdr:row>24</xdr:row>
      <xdr:rowOff>25400</xdr:rowOff>
    </xdr:to>
    <xdr:sp macro="" textlink="">
      <xdr:nvSpPr>
        <xdr:cNvPr id="14353" name="Oval 2">
          <a:extLst>
            <a:ext uri="{FF2B5EF4-FFF2-40B4-BE49-F238E27FC236}">
              <a16:creationId xmlns:a16="http://schemas.microsoft.com/office/drawing/2014/main" id="{00000000-0008-0000-0D00-000011380000}"/>
            </a:ext>
          </a:extLst>
        </xdr:cNvPr>
        <xdr:cNvSpPr>
          <a:spLocks noChangeArrowheads="1"/>
        </xdr:cNvSpPr>
      </xdr:nvSpPr>
      <xdr:spPr bwMode="auto">
        <a:xfrm>
          <a:off x="8121650" y="3848100"/>
          <a:ext cx="355600" cy="406400"/>
        </a:xfrm>
        <a:prstGeom prst="ellipse">
          <a:avLst/>
        </a:prstGeom>
        <a:solidFill>
          <a:srgbClr val="FFFFFF"/>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13</xdr:col>
      <xdr:colOff>114300</xdr:colOff>
      <xdr:row>21</xdr:row>
      <xdr:rowOff>82550</xdr:rowOff>
    </xdr:from>
    <xdr:to>
      <xdr:col>13</xdr:col>
      <xdr:colOff>533400</xdr:colOff>
      <xdr:row>24</xdr:row>
      <xdr:rowOff>19050</xdr:rowOff>
    </xdr:to>
    <xdr:sp macro="" textlink="">
      <xdr:nvSpPr>
        <xdr:cNvPr id="14354" name="Oval 3">
          <a:extLst>
            <a:ext uri="{FF2B5EF4-FFF2-40B4-BE49-F238E27FC236}">
              <a16:creationId xmlns:a16="http://schemas.microsoft.com/office/drawing/2014/main" id="{00000000-0008-0000-0D00-000012380000}"/>
            </a:ext>
          </a:extLst>
        </xdr:cNvPr>
        <xdr:cNvSpPr>
          <a:spLocks noChangeArrowheads="1"/>
        </xdr:cNvSpPr>
      </xdr:nvSpPr>
      <xdr:spPr bwMode="auto">
        <a:xfrm>
          <a:off x="9429750" y="3835400"/>
          <a:ext cx="419100" cy="412750"/>
        </a:xfrm>
        <a:prstGeom prst="ellipse">
          <a:avLst/>
        </a:prstGeom>
        <a:solidFill>
          <a:srgbClr val="FFFFFF"/>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10</xdr:col>
      <xdr:colOff>38100</xdr:colOff>
      <xdr:row>18</xdr:row>
      <xdr:rowOff>120650</xdr:rowOff>
    </xdr:from>
    <xdr:to>
      <xdr:col>11</xdr:col>
      <xdr:colOff>558800</xdr:colOff>
      <xdr:row>20</xdr:row>
      <xdr:rowOff>19050</xdr:rowOff>
    </xdr:to>
    <xdr:sp macro="" textlink="">
      <xdr:nvSpPr>
        <xdr:cNvPr id="14355" name="AutoShape 4">
          <a:extLst>
            <a:ext uri="{FF2B5EF4-FFF2-40B4-BE49-F238E27FC236}">
              <a16:creationId xmlns:a16="http://schemas.microsoft.com/office/drawing/2014/main" id="{00000000-0008-0000-0D00-000013380000}"/>
            </a:ext>
          </a:extLst>
        </xdr:cNvPr>
        <xdr:cNvSpPr>
          <a:spLocks/>
        </xdr:cNvSpPr>
      </xdr:nvSpPr>
      <xdr:spPr bwMode="auto">
        <a:xfrm rot="-1680000">
          <a:off x="6972300" y="3397250"/>
          <a:ext cx="1130300" cy="215900"/>
        </a:xfrm>
        <a:custGeom>
          <a:avLst/>
          <a:gdLst>
            <a:gd name="T0" fmla="*/ 0 w 144"/>
            <a:gd name="T1" fmla="*/ 1877625978 h 23"/>
            <a:gd name="T2" fmla="*/ 2147483646 w 144"/>
            <a:gd name="T3" fmla="*/ 0 h 23"/>
            <a:gd name="T4" fmla="*/ 2147483646 w 144"/>
            <a:gd name="T5" fmla="*/ 2056447500 h 23"/>
            <a:gd name="T6" fmla="*/ 0 60000 65536"/>
            <a:gd name="T7" fmla="*/ 0 60000 65536"/>
            <a:gd name="T8" fmla="*/ 0 60000 65536"/>
            <a:gd name="T9" fmla="*/ 0 w 144"/>
            <a:gd name="T10" fmla="*/ 0 h 23"/>
            <a:gd name="T11" fmla="*/ 144 w 144"/>
            <a:gd name="T12" fmla="*/ 23 h 23"/>
          </a:gdLst>
          <a:ahLst/>
          <a:cxnLst>
            <a:cxn ang="T6">
              <a:pos x="T0" y="T1"/>
            </a:cxn>
            <a:cxn ang="T7">
              <a:pos x="T2" y="T3"/>
            </a:cxn>
            <a:cxn ang="T8">
              <a:pos x="T4" y="T5"/>
            </a:cxn>
          </a:cxnLst>
          <a:rect l="T9" t="T10" r="T11" b="T12"/>
          <a:pathLst>
            <a:path w="144" h="23">
              <a:moveTo>
                <a:pt x="0" y="21"/>
              </a:moveTo>
              <a:cubicBezTo>
                <a:pt x="23" y="10"/>
                <a:pt x="46" y="0"/>
                <a:pt x="70" y="0"/>
              </a:cubicBezTo>
              <a:cubicBezTo>
                <a:pt x="94" y="0"/>
                <a:pt x="132" y="20"/>
                <a:pt x="144" y="23"/>
              </a:cubicBezTo>
            </a:path>
          </a:pathLst>
        </a:custGeom>
        <a:noFill/>
        <a:ln w="9360">
          <a:solidFill>
            <a:srgbClr val="000000"/>
          </a:solidFill>
          <a:round/>
          <a:headEnd/>
          <a:tailEnd type="triangle" w="med" len="me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12</xdr:col>
      <xdr:colOff>209550</xdr:colOff>
      <xdr:row>18</xdr:row>
      <xdr:rowOff>120650</xdr:rowOff>
    </xdr:from>
    <xdr:to>
      <xdr:col>13</xdr:col>
      <xdr:colOff>222250</xdr:colOff>
      <xdr:row>20</xdr:row>
      <xdr:rowOff>38100</xdr:rowOff>
    </xdr:to>
    <xdr:sp macro="" textlink="">
      <xdr:nvSpPr>
        <xdr:cNvPr id="14356" name="AutoShape 5">
          <a:extLst>
            <a:ext uri="{FF2B5EF4-FFF2-40B4-BE49-F238E27FC236}">
              <a16:creationId xmlns:a16="http://schemas.microsoft.com/office/drawing/2014/main" id="{00000000-0008-0000-0D00-000014380000}"/>
            </a:ext>
          </a:extLst>
        </xdr:cNvPr>
        <xdr:cNvSpPr>
          <a:spLocks/>
        </xdr:cNvSpPr>
      </xdr:nvSpPr>
      <xdr:spPr bwMode="auto">
        <a:xfrm rot="1740000">
          <a:off x="8489950" y="3397250"/>
          <a:ext cx="1047750" cy="234950"/>
        </a:xfrm>
        <a:custGeom>
          <a:avLst/>
          <a:gdLst>
            <a:gd name="T0" fmla="*/ 0 w 144"/>
            <a:gd name="T1" fmla="*/ 2147483646 h 23"/>
            <a:gd name="T2" fmla="*/ 2147483646 w 144"/>
            <a:gd name="T3" fmla="*/ 0 h 23"/>
            <a:gd name="T4" fmla="*/ 2147483646 w 144"/>
            <a:gd name="T5" fmla="*/ 2147483646 h 23"/>
            <a:gd name="T6" fmla="*/ 0 60000 65536"/>
            <a:gd name="T7" fmla="*/ 0 60000 65536"/>
            <a:gd name="T8" fmla="*/ 0 60000 65536"/>
            <a:gd name="T9" fmla="*/ 0 w 144"/>
            <a:gd name="T10" fmla="*/ 0 h 23"/>
            <a:gd name="T11" fmla="*/ 144 w 144"/>
            <a:gd name="T12" fmla="*/ 23 h 23"/>
          </a:gdLst>
          <a:ahLst/>
          <a:cxnLst>
            <a:cxn ang="T6">
              <a:pos x="T0" y="T1"/>
            </a:cxn>
            <a:cxn ang="T7">
              <a:pos x="T2" y="T3"/>
            </a:cxn>
            <a:cxn ang="T8">
              <a:pos x="T4" y="T5"/>
            </a:cxn>
          </a:cxnLst>
          <a:rect l="T9" t="T10" r="T11" b="T12"/>
          <a:pathLst>
            <a:path w="144" h="23">
              <a:moveTo>
                <a:pt x="0" y="21"/>
              </a:moveTo>
              <a:cubicBezTo>
                <a:pt x="23" y="10"/>
                <a:pt x="46" y="0"/>
                <a:pt x="70" y="0"/>
              </a:cubicBezTo>
              <a:cubicBezTo>
                <a:pt x="94" y="0"/>
                <a:pt x="132" y="20"/>
                <a:pt x="144" y="23"/>
              </a:cubicBezTo>
            </a:path>
          </a:pathLst>
        </a:custGeom>
        <a:noFill/>
        <a:ln w="9360">
          <a:solidFill>
            <a:srgbClr val="000000"/>
          </a:solidFill>
          <a:round/>
          <a:headEnd/>
          <a:tailEnd type="triangle" w="med" len="me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10</xdr:col>
      <xdr:colOff>69850</xdr:colOff>
      <xdr:row>25</xdr:row>
      <xdr:rowOff>57150</xdr:rowOff>
    </xdr:from>
    <xdr:to>
      <xdr:col>11</xdr:col>
      <xdr:colOff>590550</xdr:colOff>
      <xdr:row>26</xdr:row>
      <xdr:rowOff>114300</xdr:rowOff>
    </xdr:to>
    <xdr:sp macro="" textlink="">
      <xdr:nvSpPr>
        <xdr:cNvPr id="14357" name="AutoShape 6">
          <a:extLst>
            <a:ext uri="{FF2B5EF4-FFF2-40B4-BE49-F238E27FC236}">
              <a16:creationId xmlns:a16="http://schemas.microsoft.com/office/drawing/2014/main" id="{00000000-0008-0000-0D00-000015380000}"/>
            </a:ext>
          </a:extLst>
        </xdr:cNvPr>
        <xdr:cNvSpPr>
          <a:spLocks/>
        </xdr:cNvSpPr>
      </xdr:nvSpPr>
      <xdr:spPr bwMode="auto">
        <a:xfrm rot="-9180000">
          <a:off x="7004050" y="4445000"/>
          <a:ext cx="1130300" cy="215900"/>
        </a:xfrm>
        <a:custGeom>
          <a:avLst/>
          <a:gdLst>
            <a:gd name="T0" fmla="*/ 0 w 144"/>
            <a:gd name="T1" fmla="*/ 1877625978 h 23"/>
            <a:gd name="T2" fmla="*/ 2147483646 w 144"/>
            <a:gd name="T3" fmla="*/ 0 h 23"/>
            <a:gd name="T4" fmla="*/ 2147483646 w 144"/>
            <a:gd name="T5" fmla="*/ 2056447500 h 23"/>
            <a:gd name="T6" fmla="*/ 0 60000 65536"/>
            <a:gd name="T7" fmla="*/ 0 60000 65536"/>
            <a:gd name="T8" fmla="*/ 0 60000 65536"/>
            <a:gd name="T9" fmla="*/ 0 w 144"/>
            <a:gd name="T10" fmla="*/ 0 h 23"/>
            <a:gd name="T11" fmla="*/ 144 w 144"/>
            <a:gd name="T12" fmla="*/ 23 h 23"/>
          </a:gdLst>
          <a:ahLst/>
          <a:cxnLst>
            <a:cxn ang="T6">
              <a:pos x="T0" y="T1"/>
            </a:cxn>
            <a:cxn ang="T7">
              <a:pos x="T2" y="T3"/>
            </a:cxn>
            <a:cxn ang="T8">
              <a:pos x="T4" y="T5"/>
            </a:cxn>
          </a:cxnLst>
          <a:rect l="T9" t="T10" r="T11" b="T12"/>
          <a:pathLst>
            <a:path w="144" h="23">
              <a:moveTo>
                <a:pt x="0" y="21"/>
              </a:moveTo>
              <a:cubicBezTo>
                <a:pt x="23" y="10"/>
                <a:pt x="46" y="0"/>
                <a:pt x="70" y="0"/>
              </a:cubicBezTo>
              <a:cubicBezTo>
                <a:pt x="94" y="0"/>
                <a:pt x="132" y="20"/>
                <a:pt x="144" y="23"/>
              </a:cubicBezTo>
            </a:path>
          </a:pathLst>
        </a:custGeom>
        <a:noFill/>
        <a:ln w="9360">
          <a:solidFill>
            <a:srgbClr val="000000"/>
          </a:solidFill>
          <a:round/>
          <a:headEnd type="triangle" w="med" len="me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12</xdr:col>
      <xdr:colOff>209550</xdr:colOff>
      <xdr:row>25</xdr:row>
      <xdr:rowOff>57150</xdr:rowOff>
    </xdr:from>
    <xdr:to>
      <xdr:col>13</xdr:col>
      <xdr:colOff>222250</xdr:colOff>
      <xdr:row>26</xdr:row>
      <xdr:rowOff>107950</xdr:rowOff>
    </xdr:to>
    <xdr:sp macro="" textlink="">
      <xdr:nvSpPr>
        <xdr:cNvPr id="14358" name="AutoShape 7">
          <a:extLst>
            <a:ext uri="{FF2B5EF4-FFF2-40B4-BE49-F238E27FC236}">
              <a16:creationId xmlns:a16="http://schemas.microsoft.com/office/drawing/2014/main" id="{00000000-0008-0000-0D00-000016380000}"/>
            </a:ext>
          </a:extLst>
        </xdr:cNvPr>
        <xdr:cNvSpPr>
          <a:spLocks/>
        </xdr:cNvSpPr>
      </xdr:nvSpPr>
      <xdr:spPr bwMode="auto">
        <a:xfrm rot="9060000">
          <a:off x="8489950" y="4445000"/>
          <a:ext cx="1047750" cy="209550"/>
        </a:xfrm>
        <a:custGeom>
          <a:avLst/>
          <a:gdLst>
            <a:gd name="T0" fmla="*/ 0 w 144"/>
            <a:gd name="T1" fmla="*/ 1822401685 h 23"/>
            <a:gd name="T2" fmla="*/ 2147483646 w 144"/>
            <a:gd name="T3" fmla="*/ 0 h 23"/>
            <a:gd name="T4" fmla="*/ 2147483646 w 144"/>
            <a:gd name="T5" fmla="*/ 1995963750 h 23"/>
            <a:gd name="T6" fmla="*/ 0 60000 65536"/>
            <a:gd name="T7" fmla="*/ 0 60000 65536"/>
            <a:gd name="T8" fmla="*/ 0 60000 65536"/>
            <a:gd name="T9" fmla="*/ 0 w 144"/>
            <a:gd name="T10" fmla="*/ 0 h 23"/>
            <a:gd name="T11" fmla="*/ 144 w 144"/>
            <a:gd name="T12" fmla="*/ 23 h 23"/>
          </a:gdLst>
          <a:ahLst/>
          <a:cxnLst>
            <a:cxn ang="T6">
              <a:pos x="T0" y="T1"/>
            </a:cxn>
            <a:cxn ang="T7">
              <a:pos x="T2" y="T3"/>
            </a:cxn>
            <a:cxn ang="T8">
              <a:pos x="T4" y="T5"/>
            </a:cxn>
          </a:cxnLst>
          <a:rect l="T9" t="T10" r="T11" b="T12"/>
          <a:pathLst>
            <a:path w="144" h="23">
              <a:moveTo>
                <a:pt x="0" y="21"/>
              </a:moveTo>
              <a:cubicBezTo>
                <a:pt x="23" y="10"/>
                <a:pt x="46" y="0"/>
                <a:pt x="70" y="0"/>
              </a:cubicBezTo>
              <a:cubicBezTo>
                <a:pt x="94" y="0"/>
                <a:pt x="132" y="20"/>
                <a:pt x="144" y="23"/>
              </a:cubicBezTo>
            </a:path>
          </a:pathLst>
        </a:custGeom>
        <a:noFill/>
        <a:ln w="9360">
          <a:solidFill>
            <a:srgbClr val="000000"/>
          </a:solidFill>
          <a:round/>
          <a:headEnd type="triangle" w="med" len="me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10</xdr:col>
      <xdr:colOff>292100</xdr:colOff>
      <xdr:row>22</xdr:row>
      <xdr:rowOff>139700</xdr:rowOff>
    </xdr:from>
    <xdr:to>
      <xdr:col>11</xdr:col>
      <xdr:colOff>546100</xdr:colOff>
      <xdr:row>22</xdr:row>
      <xdr:rowOff>139700</xdr:rowOff>
    </xdr:to>
    <xdr:sp macro="" textlink="">
      <xdr:nvSpPr>
        <xdr:cNvPr id="14359" name="Line 8">
          <a:extLst>
            <a:ext uri="{FF2B5EF4-FFF2-40B4-BE49-F238E27FC236}">
              <a16:creationId xmlns:a16="http://schemas.microsoft.com/office/drawing/2014/main" id="{00000000-0008-0000-0D00-000017380000}"/>
            </a:ext>
          </a:extLst>
        </xdr:cNvPr>
        <xdr:cNvSpPr>
          <a:spLocks noChangeShapeType="1"/>
        </xdr:cNvSpPr>
      </xdr:nvSpPr>
      <xdr:spPr bwMode="auto">
        <a:xfrm>
          <a:off x="7226300" y="4051300"/>
          <a:ext cx="863600" cy="0"/>
        </a:xfrm>
        <a:prstGeom prst="line">
          <a:avLst/>
        </a:prstGeom>
        <a:noFill/>
        <a:ln w="9360">
          <a:solidFill>
            <a:srgbClr val="000000"/>
          </a:solidFill>
          <a:miter lim="800000"/>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12</xdr:col>
      <xdr:colOff>222250</xdr:colOff>
      <xdr:row>22</xdr:row>
      <xdr:rowOff>139700</xdr:rowOff>
    </xdr:from>
    <xdr:to>
      <xdr:col>13</xdr:col>
      <xdr:colOff>76200</xdr:colOff>
      <xdr:row>22</xdr:row>
      <xdr:rowOff>139700</xdr:rowOff>
    </xdr:to>
    <xdr:sp macro="" textlink="">
      <xdr:nvSpPr>
        <xdr:cNvPr id="14360" name="Line 9">
          <a:extLst>
            <a:ext uri="{FF2B5EF4-FFF2-40B4-BE49-F238E27FC236}">
              <a16:creationId xmlns:a16="http://schemas.microsoft.com/office/drawing/2014/main" id="{00000000-0008-0000-0D00-000018380000}"/>
            </a:ext>
          </a:extLst>
        </xdr:cNvPr>
        <xdr:cNvSpPr>
          <a:spLocks noChangeShapeType="1"/>
        </xdr:cNvSpPr>
      </xdr:nvSpPr>
      <xdr:spPr bwMode="auto">
        <a:xfrm>
          <a:off x="8502650" y="4051300"/>
          <a:ext cx="889000" cy="0"/>
        </a:xfrm>
        <a:prstGeom prst="line">
          <a:avLst/>
        </a:prstGeom>
        <a:noFill/>
        <a:ln w="9360">
          <a:solidFill>
            <a:srgbClr val="000000"/>
          </a:solidFill>
          <a:miter lim="800000"/>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11</xdr:col>
      <xdr:colOff>546100</xdr:colOff>
      <xdr:row>17</xdr:row>
      <xdr:rowOff>139700</xdr:rowOff>
    </xdr:from>
    <xdr:to>
      <xdr:col>12</xdr:col>
      <xdr:colOff>171450</xdr:colOff>
      <xdr:row>20</xdr:row>
      <xdr:rowOff>76200</xdr:rowOff>
    </xdr:to>
    <xdr:sp macro="" textlink="">
      <xdr:nvSpPr>
        <xdr:cNvPr id="14361" name="Oval 10">
          <a:extLst>
            <a:ext uri="{FF2B5EF4-FFF2-40B4-BE49-F238E27FC236}">
              <a16:creationId xmlns:a16="http://schemas.microsoft.com/office/drawing/2014/main" id="{00000000-0008-0000-0D00-000019380000}"/>
            </a:ext>
          </a:extLst>
        </xdr:cNvPr>
        <xdr:cNvSpPr>
          <a:spLocks noChangeArrowheads="1"/>
        </xdr:cNvSpPr>
      </xdr:nvSpPr>
      <xdr:spPr bwMode="auto">
        <a:xfrm>
          <a:off x="8089900" y="3257550"/>
          <a:ext cx="361950" cy="412750"/>
        </a:xfrm>
        <a:prstGeom prst="ellipse">
          <a:avLst/>
        </a:prstGeom>
        <a:solidFill>
          <a:srgbClr val="FFFFFF"/>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11</xdr:col>
      <xdr:colOff>558800</xdr:colOff>
      <xdr:row>25</xdr:row>
      <xdr:rowOff>38100</xdr:rowOff>
    </xdr:from>
    <xdr:to>
      <xdr:col>12</xdr:col>
      <xdr:colOff>177800</xdr:colOff>
      <xdr:row>27</xdr:row>
      <xdr:rowOff>133350</xdr:rowOff>
    </xdr:to>
    <xdr:sp macro="" textlink="">
      <xdr:nvSpPr>
        <xdr:cNvPr id="14362" name="Oval 11">
          <a:extLst>
            <a:ext uri="{FF2B5EF4-FFF2-40B4-BE49-F238E27FC236}">
              <a16:creationId xmlns:a16="http://schemas.microsoft.com/office/drawing/2014/main" id="{00000000-0008-0000-0D00-00001A380000}"/>
            </a:ext>
          </a:extLst>
        </xdr:cNvPr>
        <xdr:cNvSpPr>
          <a:spLocks noChangeArrowheads="1"/>
        </xdr:cNvSpPr>
      </xdr:nvSpPr>
      <xdr:spPr bwMode="auto">
        <a:xfrm>
          <a:off x="8102600" y="4425950"/>
          <a:ext cx="355600" cy="412750"/>
        </a:xfrm>
        <a:prstGeom prst="ellipse">
          <a:avLst/>
        </a:prstGeom>
        <a:solidFill>
          <a:srgbClr val="FFFFFF"/>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7</xdr:col>
      <xdr:colOff>704850</xdr:colOff>
      <xdr:row>11</xdr:row>
      <xdr:rowOff>107950</xdr:rowOff>
    </xdr:from>
    <xdr:to>
      <xdr:col>8</xdr:col>
      <xdr:colOff>298450</xdr:colOff>
      <xdr:row>11</xdr:row>
      <xdr:rowOff>107950</xdr:rowOff>
    </xdr:to>
    <xdr:sp macro="" textlink="">
      <xdr:nvSpPr>
        <xdr:cNvPr id="14363" name="Line 12">
          <a:extLst>
            <a:ext uri="{FF2B5EF4-FFF2-40B4-BE49-F238E27FC236}">
              <a16:creationId xmlns:a16="http://schemas.microsoft.com/office/drawing/2014/main" id="{00000000-0008-0000-0D00-00001B380000}"/>
            </a:ext>
          </a:extLst>
        </xdr:cNvPr>
        <xdr:cNvSpPr>
          <a:spLocks noChangeShapeType="1"/>
        </xdr:cNvSpPr>
      </xdr:nvSpPr>
      <xdr:spPr bwMode="auto">
        <a:xfrm>
          <a:off x="5702300" y="1993900"/>
          <a:ext cx="311150" cy="0"/>
        </a:xfrm>
        <a:prstGeom prst="line">
          <a:avLst/>
        </a:prstGeom>
        <a:noFill/>
        <a:ln w="9360">
          <a:solidFill>
            <a:srgbClr val="000000"/>
          </a:solidFill>
          <a:miter lim="800000"/>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7</xdr:col>
      <xdr:colOff>704850</xdr:colOff>
      <xdr:row>12</xdr:row>
      <xdr:rowOff>69850</xdr:rowOff>
    </xdr:from>
    <xdr:to>
      <xdr:col>8</xdr:col>
      <xdr:colOff>298450</xdr:colOff>
      <xdr:row>12</xdr:row>
      <xdr:rowOff>69850</xdr:rowOff>
    </xdr:to>
    <xdr:sp macro="" textlink="">
      <xdr:nvSpPr>
        <xdr:cNvPr id="14364" name="Line 13">
          <a:extLst>
            <a:ext uri="{FF2B5EF4-FFF2-40B4-BE49-F238E27FC236}">
              <a16:creationId xmlns:a16="http://schemas.microsoft.com/office/drawing/2014/main" id="{00000000-0008-0000-0D00-00001C380000}"/>
            </a:ext>
          </a:extLst>
        </xdr:cNvPr>
        <xdr:cNvSpPr>
          <a:spLocks noChangeShapeType="1"/>
        </xdr:cNvSpPr>
      </xdr:nvSpPr>
      <xdr:spPr bwMode="auto">
        <a:xfrm>
          <a:off x="5702300" y="2120900"/>
          <a:ext cx="311150" cy="0"/>
        </a:xfrm>
        <a:prstGeom prst="line">
          <a:avLst/>
        </a:prstGeom>
        <a:noFill/>
        <a:ln w="9360">
          <a:solidFill>
            <a:srgbClr val="000000"/>
          </a:solidFill>
          <a:miter lim="800000"/>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7</xdr:col>
      <xdr:colOff>704850</xdr:colOff>
      <xdr:row>13</xdr:row>
      <xdr:rowOff>69850</xdr:rowOff>
    </xdr:from>
    <xdr:to>
      <xdr:col>8</xdr:col>
      <xdr:colOff>298450</xdr:colOff>
      <xdr:row>13</xdr:row>
      <xdr:rowOff>69850</xdr:rowOff>
    </xdr:to>
    <xdr:sp macro="" textlink="">
      <xdr:nvSpPr>
        <xdr:cNvPr id="14365" name="Line 14">
          <a:extLst>
            <a:ext uri="{FF2B5EF4-FFF2-40B4-BE49-F238E27FC236}">
              <a16:creationId xmlns:a16="http://schemas.microsoft.com/office/drawing/2014/main" id="{00000000-0008-0000-0D00-00001D380000}"/>
            </a:ext>
          </a:extLst>
        </xdr:cNvPr>
        <xdr:cNvSpPr>
          <a:spLocks noChangeShapeType="1"/>
        </xdr:cNvSpPr>
      </xdr:nvSpPr>
      <xdr:spPr bwMode="auto">
        <a:xfrm>
          <a:off x="5702300" y="2286000"/>
          <a:ext cx="311150" cy="0"/>
        </a:xfrm>
        <a:prstGeom prst="line">
          <a:avLst/>
        </a:prstGeom>
        <a:noFill/>
        <a:ln w="9360">
          <a:solidFill>
            <a:srgbClr val="000000"/>
          </a:solidFill>
          <a:miter lim="800000"/>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7</xdr:col>
      <xdr:colOff>704850</xdr:colOff>
      <xdr:row>13</xdr:row>
      <xdr:rowOff>69850</xdr:rowOff>
    </xdr:from>
    <xdr:to>
      <xdr:col>8</xdr:col>
      <xdr:colOff>298450</xdr:colOff>
      <xdr:row>13</xdr:row>
      <xdr:rowOff>69850</xdr:rowOff>
    </xdr:to>
    <xdr:sp macro="" textlink="">
      <xdr:nvSpPr>
        <xdr:cNvPr id="14366" name="Line 15">
          <a:extLst>
            <a:ext uri="{FF2B5EF4-FFF2-40B4-BE49-F238E27FC236}">
              <a16:creationId xmlns:a16="http://schemas.microsoft.com/office/drawing/2014/main" id="{00000000-0008-0000-0D00-00001E380000}"/>
            </a:ext>
          </a:extLst>
        </xdr:cNvPr>
        <xdr:cNvSpPr>
          <a:spLocks noChangeShapeType="1"/>
        </xdr:cNvSpPr>
      </xdr:nvSpPr>
      <xdr:spPr bwMode="auto">
        <a:xfrm>
          <a:off x="5702300" y="2286000"/>
          <a:ext cx="311150" cy="0"/>
        </a:xfrm>
        <a:prstGeom prst="line">
          <a:avLst/>
        </a:prstGeom>
        <a:noFill/>
        <a:ln w="9360">
          <a:solidFill>
            <a:srgbClr val="000000"/>
          </a:solidFill>
          <a:miter lim="800000"/>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wsDr>
</file>

<file path=xl/drawings/drawing12.xml><?xml version="1.0" encoding="utf-8"?>
<xdr:wsDr xmlns:xdr="http://schemas.openxmlformats.org/drawingml/2006/spreadsheetDrawing" xmlns:a="http://schemas.openxmlformats.org/drawingml/2006/main">
  <xdr:twoCellAnchor>
    <xdr:from>
      <xdr:col>0</xdr:col>
      <xdr:colOff>457200</xdr:colOff>
      <xdr:row>20</xdr:row>
      <xdr:rowOff>95250</xdr:rowOff>
    </xdr:from>
    <xdr:to>
      <xdr:col>1</xdr:col>
      <xdr:colOff>279400</xdr:colOff>
      <xdr:row>23</xdr:row>
      <xdr:rowOff>25400</xdr:rowOff>
    </xdr:to>
    <xdr:sp macro="" textlink="" fLocksText="0">
      <xdr:nvSpPr>
        <xdr:cNvPr id="15361" name="Oval 1">
          <a:extLst>
            <a:ext uri="{FF2B5EF4-FFF2-40B4-BE49-F238E27FC236}">
              <a16:creationId xmlns:a16="http://schemas.microsoft.com/office/drawing/2014/main" id="{00000000-0008-0000-0E00-0000013C0000}"/>
            </a:ext>
          </a:extLst>
        </xdr:cNvPr>
        <xdr:cNvSpPr>
          <a:spLocks noChangeArrowheads="1"/>
        </xdr:cNvSpPr>
      </xdr:nvSpPr>
      <xdr:spPr bwMode="auto">
        <a:xfrm>
          <a:off x="457200" y="3479800"/>
          <a:ext cx="431800" cy="406400"/>
        </a:xfrm>
        <a:prstGeom prst="ellipse">
          <a:avLst/>
        </a:prstGeom>
        <a:solidFill>
          <a:srgbClr val="FFFFFF"/>
        </a:solidFill>
        <a:ln w="9360">
          <a:solidFill>
            <a:srgbClr val="000000"/>
          </a:solidFill>
          <a:miter lim="800000"/>
          <a:headEnd/>
          <a:tailEnd/>
        </a:ln>
        <a:effectLst/>
      </xdr:spPr>
      <xdr:txBody>
        <a:bodyPr vertOverflow="clip" wrap="square" lIns="27360" tIns="22680" rIns="27360" bIns="0" anchor="t"/>
        <a:lstStyle/>
        <a:p>
          <a:pPr algn="ctr" rtl="0">
            <a:defRPr sz="1000"/>
          </a:pPr>
          <a:r>
            <a:rPr lang="en-IN" sz="1000" b="0" i="0" u="none" strike="noStrike" baseline="0">
              <a:solidFill>
                <a:srgbClr val="000000"/>
              </a:solidFill>
              <a:latin typeface="Arial"/>
              <a:cs typeface="Arial"/>
            </a:rPr>
            <a:t>S</a:t>
          </a:r>
        </a:p>
      </xdr:txBody>
    </xdr:sp>
    <xdr:clientData/>
  </xdr:twoCellAnchor>
  <xdr:twoCellAnchor>
    <xdr:from>
      <xdr:col>2</xdr:col>
      <xdr:colOff>577850</xdr:colOff>
      <xdr:row>20</xdr:row>
      <xdr:rowOff>95250</xdr:rowOff>
    </xdr:from>
    <xdr:to>
      <xdr:col>3</xdr:col>
      <xdr:colOff>196850</xdr:colOff>
      <xdr:row>23</xdr:row>
      <xdr:rowOff>25400</xdr:rowOff>
    </xdr:to>
    <xdr:sp macro="" textlink="">
      <xdr:nvSpPr>
        <xdr:cNvPr id="15369" name="Oval 2">
          <a:extLst>
            <a:ext uri="{FF2B5EF4-FFF2-40B4-BE49-F238E27FC236}">
              <a16:creationId xmlns:a16="http://schemas.microsoft.com/office/drawing/2014/main" id="{00000000-0008-0000-0E00-0000093C0000}"/>
            </a:ext>
          </a:extLst>
        </xdr:cNvPr>
        <xdr:cNvSpPr>
          <a:spLocks noChangeArrowheads="1"/>
        </xdr:cNvSpPr>
      </xdr:nvSpPr>
      <xdr:spPr bwMode="auto">
        <a:xfrm>
          <a:off x="1676400" y="3479800"/>
          <a:ext cx="438150" cy="406400"/>
        </a:xfrm>
        <a:prstGeom prst="ellipse">
          <a:avLst/>
        </a:prstGeom>
        <a:solidFill>
          <a:srgbClr val="FFFFFF"/>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4</xdr:col>
      <xdr:colOff>120650</xdr:colOff>
      <xdr:row>20</xdr:row>
      <xdr:rowOff>82550</xdr:rowOff>
    </xdr:from>
    <xdr:to>
      <xdr:col>4</xdr:col>
      <xdr:colOff>558800</xdr:colOff>
      <xdr:row>23</xdr:row>
      <xdr:rowOff>19050</xdr:rowOff>
    </xdr:to>
    <xdr:sp macro="" textlink="">
      <xdr:nvSpPr>
        <xdr:cNvPr id="15370" name="Oval 3">
          <a:extLst>
            <a:ext uri="{FF2B5EF4-FFF2-40B4-BE49-F238E27FC236}">
              <a16:creationId xmlns:a16="http://schemas.microsoft.com/office/drawing/2014/main" id="{00000000-0008-0000-0E00-00000A3C0000}"/>
            </a:ext>
          </a:extLst>
        </xdr:cNvPr>
        <xdr:cNvSpPr>
          <a:spLocks noChangeArrowheads="1"/>
        </xdr:cNvSpPr>
      </xdr:nvSpPr>
      <xdr:spPr bwMode="auto">
        <a:xfrm>
          <a:off x="3022600" y="3467100"/>
          <a:ext cx="438150" cy="412750"/>
        </a:xfrm>
        <a:prstGeom prst="ellipse">
          <a:avLst/>
        </a:prstGeom>
        <a:solidFill>
          <a:srgbClr val="FFFFFF"/>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xdr:col>
      <xdr:colOff>152400</xdr:colOff>
      <xdr:row>19</xdr:row>
      <xdr:rowOff>25400</xdr:rowOff>
    </xdr:from>
    <xdr:to>
      <xdr:col>2</xdr:col>
      <xdr:colOff>673100</xdr:colOff>
      <xdr:row>20</xdr:row>
      <xdr:rowOff>82550</xdr:rowOff>
    </xdr:to>
    <xdr:sp macro="" textlink="">
      <xdr:nvSpPr>
        <xdr:cNvPr id="15371" name="AutoShape 4">
          <a:extLst>
            <a:ext uri="{FF2B5EF4-FFF2-40B4-BE49-F238E27FC236}">
              <a16:creationId xmlns:a16="http://schemas.microsoft.com/office/drawing/2014/main" id="{00000000-0008-0000-0E00-00000B3C0000}"/>
            </a:ext>
          </a:extLst>
        </xdr:cNvPr>
        <xdr:cNvSpPr>
          <a:spLocks/>
        </xdr:cNvSpPr>
      </xdr:nvSpPr>
      <xdr:spPr bwMode="auto">
        <a:xfrm>
          <a:off x="762000" y="3251200"/>
          <a:ext cx="1009650" cy="215900"/>
        </a:xfrm>
        <a:custGeom>
          <a:avLst/>
          <a:gdLst>
            <a:gd name="T0" fmla="*/ 0 w 144"/>
            <a:gd name="T1" fmla="*/ 1877625978 h 23"/>
            <a:gd name="T2" fmla="*/ 2147483646 w 144"/>
            <a:gd name="T3" fmla="*/ 0 h 23"/>
            <a:gd name="T4" fmla="*/ 2147483646 w 144"/>
            <a:gd name="T5" fmla="*/ 2056447500 h 23"/>
            <a:gd name="T6" fmla="*/ 0 60000 65536"/>
            <a:gd name="T7" fmla="*/ 0 60000 65536"/>
            <a:gd name="T8" fmla="*/ 0 60000 65536"/>
            <a:gd name="T9" fmla="*/ 0 w 144"/>
            <a:gd name="T10" fmla="*/ 0 h 23"/>
            <a:gd name="T11" fmla="*/ 144 w 144"/>
            <a:gd name="T12" fmla="*/ 23 h 23"/>
          </a:gdLst>
          <a:ahLst/>
          <a:cxnLst>
            <a:cxn ang="T6">
              <a:pos x="T0" y="T1"/>
            </a:cxn>
            <a:cxn ang="T7">
              <a:pos x="T2" y="T3"/>
            </a:cxn>
            <a:cxn ang="T8">
              <a:pos x="T4" y="T5"/>
            </a:cxn>
          </a:cxnLst>
          <a:rect l="T9" t="T10" r="T11" b="T12"/>
          <a:pathLst>
            <a:path w="144" h="23">
              <a:moveTo>
                <a:pt x="0" y="21"/>
              </a:moveTo>
              <a:cubicBezTo>
                <a:pt x="23" y="10"/>
                <a:pt x="46" y="0"/>
                <a:pt x="70" y="0"/>
              </a:cubicBezTo>
              <a:cubicBezTo>
                <a:pt x="94" y="0"/>
                <a:pt x="132" y="20"/>
                <a:pt x="144" y="23"/>
              </a:cubicBezTo>
            </a:path>
          </a:pathLst>
        </a:custGeom>
        <a:noFill/>
        <a:ln w="9360">
          <a:solidFill>
            <a:srgbClr val="000000"/>
          </a:solidFill>
          <a:round/>
          <a:headEnd/>
          <a:tailEnd type="triangle" w="med" len="me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3</xdr:col>
      <xdr:colOff>139700</xdr:colOff>
      <xdr:row>19</xdr:row>
      <xdr:rowOff>57150</xdr:rowOff>
    </xdr:from>
    <xdr:to>
      <xdr:col>4</xdr:col>
      <xdr:colOff>158750</xdr:colOff>
      <xdr:row>20</xdr:row>
      <xdr:rowOff>114300</xdr:rowOff>
    </xdr:to>
    <xdr:sp macro="" textlink="">
      <xdr:nvSpPr>
        <xdr:cNvPr id="15372" name="AutoShape 5">
          <a:extLst>
            <a:ext uri="{FF2B5EF4-FFF2-40B4-BE49-F238E27FC236}">
              <a16:creationId xmlns:a16="http://schemas.microsoft.com/office/drawing/2014/main" id="{00000000-0008-0000-0E00-00000C3C0000}"/>
            </a:ext>
          </a:extLst>
        </xdr:cNvPr>
        <xdr:cNvSpPr>
          <a:spLocks/>
        </xdr:cNvSpPr>
      </xdr:nvSpPr>
      <xdr:spPr bwMode="auto">
        <a:xfrm>
          <a:off x="2057400" y="3282950"/>
          <a:ext cx="1003300" cy="215900"/>
        </a:xfrm>
        <a:custGeom>
          <a:avLst/>
          <a:gdLst>
            <a:gd name="T0" fmla="*/ 0 w 144"/>
            <a:gd name="T1" fmla="*/ 1877625978 h 23"/>
            <a:gd name="T2" fmla="*/ 2147483646 w 144"/>
            <a:gd name="T3" fmla="*/ 0 h 23"/>
            <a:gd name="T4" fmla="*/ 2147483646 w 144"/>
            <a:gd name="T5" fmla="*/ 2056447500 h 23"/>
            <a:gd name="T6" fmla="*/ 0 60000 65536"/>
            <a:gd name="T7" fmla="*/ 0 60000 65536"/>
            <a:gd name="T8" fmla="*/ 0 60000 65536"/>
            <a:gd name="T9" fmla="*/ 0 w 144"/>
            <a:gd name="T10" fmla="*/ 0 h 23"/>
            <a:gd name="T11" fmla="*/ 144 w 144"/>
            <a:gd name="T12" fmla="*/ 23 h 23"/>
          </a:gdLst>
          <a:ahLst/>
          <a:cxnLst>
            <a:cxn ang="T6">
              <a:pos x="T0" y="T1"/>
            </a:cxn>
            <a:cxn ang="T7">
              <a:pos x="T2" y="T3"/>
            </a:cxn>
            <a:cxn ang="T8">
              <a:pos x="T4" y="T5"/>
            </a:cxn>
          </a:cxnLst>
          <a:rect l="T9" t="T10" r="T11" b="T12"/>
          <a:pathLst>
            <a:path w="144" h="23">
              <a:moveTo>
                <a:pt x="0" y="21"/>
              </a:moveTo>
              <a:cubicBezTo>
                <a:pt x="23" y="10"/>
                <a:pt x="46" y="0"/>
                <a:pt x="70" y="0"/>
              </a:cubicBezTo>
              <a:cubicBezTo>
                <a:pt x="94" y="0"/>
                <a:pt x="132" y="20"/>
                <a:pt x="144" y="23"/>
              </a:cubicBezTo>
            </a:path>
          </a:pathLst>
        </a:custGeom>
        <a:noFill/>
        <a:ln w="9360">
          <a:solidFill>
            <a:srgbClr val="000000"/>
          </a:solidFill>
          <a:round/>
          <a:headEnd/>
          <a:tailEnd type="triangle" w="med" len="me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xdr:col>
      <xdr:colOff>139700</xdr:colOff>
      <xdr:row>23</xdr:row>
      <xdr:rowOff>25400</xdr:rowOff>
    </xdr:from>
    <xdr:to>
      <xdr:col>2</xdr:col>
      <xdr:colOff>660400</xdr:colOff>
      <xdr:row>24</xdr:row>
      <xdr:rowOff>82550</xdr:rowOff>
    </xdr:to>
    <xdr:sp macro="" textlink="">
      <xdr:nvSpPr>
        <xdr:cNvPr id="15373" name="AutoShape 6">
          <a:extLst>
            <a:ext uri="{FF2B5EF4-FFF2-40B4-BE49-F238E27FC236}">
              <a16:creationId xmlns:a16="http://schemas.microsoft.com/office/drawing/2014/main" id="{00000000-0008-0000-0E00-00000D3C0000}"/>
            </a:ext>
          </a:extLst>
        </xdr:cNvPr>
        <xdr:cNvSpPr>
          <a:spLocks/>
        </xdr:cNvSpPr>
      </xdr:nvSpPr>
      <xdr:spPr bwMode="auto">
        <a:xfrm rot="10800000">
          <a:off x="749300" y="3886200"/>
          <a:ext cx="1009650" cy="215900"/>
        </a:xfrm>
        <a:custGeom>
          <a:avLst/>
          <a:gdLst>
            <a:gd name="T0" fmla="*/ 0 w 144"/>
            <a:gd name="T1" fmla="*/ 1877625978 h 23"/>
            <a:gd name="T2" fmla="*/ 2147483646 w 144"/>
            <a:gd name="T3" fmla="*/ 0 h 23"/>
            <a:gd name="T4" fmla="*/ 2147483646 w 144"/>
            <a:gd name="T5" fmla="*/ 2056447500 h 23"/>
            <a:gd name="T6" fmla="*/ 0 60000 65536"/>
            <a:gd name="T7" fmla="*/ 0 60000 65536"/>
            <a:gd name="T8" fmla="*/ 0 60000 65536"/>
            <a:gd name="T9" fmla="*/ 0 w 144"/>
            <a:gd name="T10" fmla="*/ 0 h 23"/>
            <a:gd name="T11" fmla="*/ 144 w 144"/>
            <a:gd name="T12" fmla="*/ 23 h 23"/>
          </a:gdLst>
          <a:ahLst/>
          <a:cxnLst>
            <a:cxn ang="T6">
              <a:pos x="T0" y="T1"/>
            </a:cxn>
            <a:cxn ang="T7">
              <a:pos x="T2" y="T3"/>
            </a:cxn>
            <a:cxn ang="T8">
              <a:pos x="T4" y="T5"/>
            </a:cxn>
          </a:cxnLst>
          <a:rect l="T9" t="T10" r="T11" b="T12"/>
          <a:pathLst>
            <a:path w="144" h="23">
              <a:moveTo>
                <a:pt x="0" y="21"/>
              </a:moveTo>
              <a:cubicBezTo>
                <a:pt x="23" y="10"/>
                <a:pt x="46" y="0"/>
                <a:pt x="70" y="0"/>
              </a:cubicBezTo>
              <a:cubicBezTo>
                <a:pt x="94" y="0"/>
                <a:pt x="132" y="20"/>
                <a:pt x="144" y="23"/>
              </a:cubicBezTo>
            </a:path>
          </a:pathLst>
        </a:custGeom>
        <a:noFill/>
        <a:ln w="9360">
          <a:solidFill>
            <a:srgbClr val="000000"/>
          </a:solidFill>
          <a:round/>
          <a:headEnd type="triangle" w="med" len="me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3</xdr:col>
      <xdr:colOff>139700</xdr:colOff>
      <xdr:row>23</xdr:row>
      <xdr:rowOff>38100</xdr:rowOff>
    </xdr:from>
    <xdr:to>
      <xdr:col>4</xdr:col>
      <xdr:colOff>158750</xdr:colOff>
      <xdr:row>24</xdr:row>
      <xdr:rowOff>95250</xdr:rowOff>
    </xdr:to>
    <xdr:sp macro="" textlink="">
      <xdr:nvSpPr>
        <xdr:cNvPr id="15374" name="AutoShape 7">
          <a:extLst>
            <a:ext uri="{FF2B5EF4-FFF2-40B4-BE49-F238E27FC236}">
              <a16:creationId xmlns:a16="http://schemas.microsoft.com/office/drawing/2014/main" id="{00000000-0008-0000-0E00-00000E3C0000}"/>
            </a:ext>
          </a:extLst>
        </xdr:cNvPr>
        <xdr:cNvSpPr>
          <a:spLocks/>
        </xdr:cNvSpPr>
      </xdr:nvSpPr>
      <xdr:spPr bwMode="auto">
        <a:xfrm rot="10800000">
          <a:off x="2057400" y="3898900"/>
          <a:ext cx="1003300" cy="215900"/>
        </a:xfrm>
        <a:custGeom>
          <a:avLst/>
          <a:gdLst>
            <a:gd name="T0" fmla="*/ 0 w 144"/>
            <a:gd name="T1" fmla="*/ 1877625978 h 23"/>
            <a:gd name="T2" fmla="*/ 2147483646 w 144"/>
            <a:gd name="T3" fmla="*/ 0 h 23"/>
            <a:gd name="T4" fmla="*/ 2147483646 w 144"/>
            <a:gd name="T5" fmla="*/ 2056447500 h 23"/>
            <a:gd name="T6" fmla="*/ 0 60000 65536"/>
            <a:gd name="T7" fmla="*/ 0 60000 65536"/>
            <a:gd name="T8" fmla="*/ 0 60000 65536"/>
            <a:gd name="T9" fmla="*/ 0 w 144"/>
            <a:gd name="T10" fmla="*/ 0 h 23"/>
            <a:gd name="T11" fmla="*/ 144 w 144"/>
            <a:gd name="T12" fmla="*/ 23 h 23"/>
          </a:gdLst>
          <a:ahLst/>
          <a:cxnLst>
            <a:cxn ang="T6">
              <a:pos x="T0" y="T1"/>
            </a:cxn>
            <a:cxn ang="T7">
              <a:pos x="T2" y="T3"/>
            </a:cxn>
            <a:cxn ang="T8">
              <a:pos x="T4" y="T5"/>
            </a:cxn>
          </a:cxnLst>
          <a:rect l="T9" t="T10" r="T11" b="T12"/>
          <a:pathLst>
            <a:path w="144" h="23">
              <a:moveTo>
                <a:pt x="0" y="21"/>
              </a:moveTo>
              <a:cubicBezTo>
                <a:pt x="23" y="10"/>
                <a:pt x="46" y="0"/>
                <a:pt x="70" y="0"/>
              </a:cubicBezTo>
              <a:cubicBezTo>
                <a:pt x="94" y="0"/>
                <a:pt x="132" y="20"/>
                <a:pt x="144" y="23"/>
              </a:cubicBezTo>
            </a:path>
          </a:pathLst>
        </a:custGeom>
        <a:noFill/>
        <a:ln w="9360">
          <a:solidFill>
            <a:srgbClr val="000000"/>
          </a:solidFill>
          <a:round/>
          <a:headEnd type="triangle" w="med" len="me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wsDr>
</file>

<file path=xl/drawings/drawing13.xml><?xml version="1.0" encoding="utf-8"?>
<xdr:wsDr xmlns:xdr="http://schemas.openxmlformats.org/drawingml/2006/spreadsheetDrawing" xmlns:a="http://schemas.openxmlformats.org/drawingml/2006/main">
  <xdr:twoCellAnchor>
    <xdr:from>
      <xdr:col>15</xdr:col>
      <xdr:colOff>133350</xdr:colOff>
      <xdr:row>0</xdr:row>
      <xdr:rowOff>139700</xdr:rowOff>
    </xdr:from>
    <xdr:to>
      <xdr:col>19</xdr:col>
      <xdr:colOff>355600</xdr:colOff>
      <xdr:row>14</xdr:row>
      <xdr:rowOff>82550</xdr:rowOff>
    </xdr:to>
    <xdr:pic>
      <xdr:nvPicPr>
        <xdr:cNvPr id="16392" name="Picture 1">
          <a:extLst>
            <a:ext uri="{FF2B5EF4-FFF2-40B4-BE49-F238E27FC236}">
              <a16:creationId xmlns:a16="http://schemas.microsoft.com/office/drawing/2014/main" id="{00000000-0008-0000-0F00-0000084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61150" y="139700"/>
          <a:ext cx="2908300" cy="22860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11</xdr:col>
      <xdr:colOff>139700</xdr:colOff>
      <xdr:row>37</xdr:row>
      <xdr:rowOff>19050</xdr:rowOff>
    </xdr:from>
    <xdr:to>
      <xdr:col>15</xdr:col>
      <xdr:colOff>355600</xdr:colOff>
      <xdr:row>46</xdr:row>
      <xdr:rowOff>69850</xdr:rowOff>
    </xdr:to>
    <xdr:sp macro="" textlink="" fLocksText="0">
      <xdr:nvSpPr>
        <xdr:cNvPr id="16386" name="AutoShape 2">
          <a:extLst>
            <a:ext uri="{FF2B5EF4-FFF2-40B4-BE49-F238E27FC236}">
              <a16:creationId xmlns:a16="http://schemas.microsoft.com/office/drawing/2014/main" id="{00000000-0008-0000-0F00-000002400000}"/>
            </a:ext>
          </a:extLst>
        </xdr:cNvPr>
        <xdr:cNvSpPr>
          <a:spLocks/>
        </xdr:cNvSpPr>
      </xdr:nvSpPr>
      <xdr:spPr bwMode="auto">
        <a:xfrm>
          <a:off x="3721100" y="6096000"/>
          <a:ext cx="3162300" cy="1517650"/>
        </a:xfrm>
        <a:prstGeom prst="borderCallout1">
          <a:avLst>
            <a:gd name="adj1" fmla="val 7597"/>
            <a:gd name="adj2" fmla="val -2444"/>
            <a:gd name="adj3" fmla="val 46204"/>
            <a:gd name="adj4" fmla="val -45870"/>
          </a:avLst>
        </a:prstGeom>
        <a:solidFill>
          <a:srgbClr val="99CCFF"/>
        </a:solidFill>
        <a:ln w="9360">
          <a:solidFill>
            <a:srgbClr val="000000"/>
          </a:solidFill>
          <a:miter lim="800000"/>
          <a:headEnd/>
          <a:tailEnd type="triangle" w="med" len="med"/>
        </a:ln>
        <a:effectLst/>
      </xdr:spPr>
      <xdr:txBody>
        <a:bodyPr vertOverflow="clip" wrap="square" lIns="27360" tIns="22680" rIns="0" bIns="0" anchor="t"/>
        <a:lstStyle/>
        <a:p>
          <a:pPr algn="l" rtl="0">
            <a:defRPr sz="1000"/>
          </a:pPr>
          <a:r>
            <a:rPr lang="en-IN" sz="1000" b="0" i="0" u="none" strike="noStrike" baseline="0">
              <a:solidFill>
                <a:srgbClr val="000000"/>
              </a:solidFill>
              <a:latin typeface="Arial"/>
              <a:cs typeface="Arial"/>
            </a:rPr>
            <a:t>Insert dummy column if you don't have 7 factors for L8 array, to simulate fully saturated design. Assign levels to dummy column per factorial design scheme, and convert all values to +1 &amp; -1 by using </a:t>
          </a:r>
          <a:r>
            <a:rPr lang="en-IN" sz="1000" b="0" i="0" u="sng" strike="noStrike" baseline="0">
              <a:solidFill>
                <a:srgbClr val="000000"/>
              </a:solidFill>
              <a:latin typeface="Arial"/>
              <a:cs typeface="Arial"/>
            </a:rPr>
            <a:t>E</a:t>
          </a:r>
          <a:r>
            <a:rPr lang="en-IN" sz="1000" b="0" i="0" u="none" strike="noStrike" baseline="0">
              <a:solidFill>
                <a:srgbClr val="000000"/>
              </a:solidFill>
              <a:latin typeface="Arial"/>
              <a:cs typeface="Arial"/>
            </a:rPr>
            <a:t>dit, </a:t>
          </a:r>
          <a:r>
            <a:rPr lang="en-IN" sz="1000" b="0" i="0" u="sng" strike="noStrike" baseline="0">
              <a:solidFill>
                <a:srgbClr val="000000"/>
              </a:solidFill>
              <a:latin typeface="Arial"/>
              <a:cs typeface="Arial"/>
            </a:rPr>
            <a:t>F</a:t>
          </a:r>
          <a:r>
            <a:rPr lang="en-IN" sz="1000" b="0" i="0" u="none" strike="noStrike" baseline="0">
              <a:solidFill>
                <a:srgbClr val="000000"/>
              </a:solidFill>
              <a:latin typeface="Arial"/>
              <a:cs typeface="Arial"/>
            </a:rPr>
            <a:t>ind function in Excel. (Hilite all factor levels, hit </a:t>
          </a:r>
          <a:r>
            <a:rPr lang="en-IN" sz="1000" b="0" i="0" u="sng" strike="noStrike" baseline="0">
              <a:solidFill>
                <a:srgbClr val="000000"/>
              </a:solidFill>
              <a:latin typeface="Arial"/>
              <a:cs typeface="Arial"/>
            </a:rPr>
            <a:t>E</a:t>
          </a:r>
          <a:r>
            <a:rPr lang="en-IN" sz="1000" b="0" i="0" u="none" strike="noStrike" baseline="0">
              <a:solidFill>
                <a:srgbClr val="000000"/>
              </a:solidFill>
              <a:latin typeface="Arial"/>
              <a:cs typeface="Arial"/>
            </a:rPr>
            <a:t>dit, </a:t>
          </a:r>
          <a:r>
            <a:rPr lang="en-IN" sz="1000" b="0" i="0" u="sng" strike="noStrike" baseline="0">
              <a:solidFill>
                <a:srgbClr val="000000"/>
              </a:solidFill>
              <a:latin typeface="Arial"/>
              <a:cs typeface="Arial"/>
            </a:rPr>
            <a:t>F</a:t>
          </a:r>
          <a:r>
            <a:rPr lang="en-IN" sz="1000" b="0" i="0" u="none" strike="noStrike" baseline="0">
              <a:solidFill>
                <a:srgbClr val="000000"/>
              </a:solidFill>
              <a:latin typeface="Arial"/>
              <a:cs typeface="Arial"/>
            </a:rPr>
            <a:t>ind, Re</a:t>
          </a:r>
          <a:r>
            <a:rPr lang="en-IN" sz="1000" b="0" i="0" u="sng" strike="noStrike" baseline="0">
              <a:solidFill>
                <a:srgbClr val="000000"/>
              </a:solidFill>
              <a:latin typeface="Arial"/>
              <a:cs typeface="Arial"/>
            </a:rPr>
            <a:t>p</a:t>
          </a:r>
          <a:r>
            <a:rPr lang="en-IN" sz="1000" b="0" i="0" u="none" strike="noStrike" baseline="0">
              <a:solidFill>
                <a:srgbClr val="000000"/>
              </a:solidFill>
              <a:latin typeface="Arial"/>
              <a:cs typeface="Arial"/>
            </a:rPr>
            <a:t>lace. Replace all high levels with 1 and low values with -1.) </a:t>
          </a:r>
        </a:p>
        <a:p>
          <a:pPr algn="l" rtl="0">
            <a:defRPr sz="1000"/>
          </a:pPr>
          <a:r>
            <a:rPr lang="en-IN" sz="1000" b="0" i="0" u="none" strike="noStrike" baseline="0">
              <a:solidFill>
                <a:srgbClr val="000000"/>
              </a:solidFill>
              <a:latin typeface="Arial"/>
              <a:cs typeface="Arial"/>
            </a:rPr>
            <a:t>Replicate highest and lowest trials.</a:t>
          </a:r>
        </a:p>
        <a:p>
          <a:pPr algn="l" rtl="0">
            <a:defRPr sz="1000"/>
          </a:pPr>
          <a:r>
            <a:rPr lang="en-IN" sz="1000" b="0" i="0" u="none" strike="noStrike" baseline="0">
              <a:solidFill>
                <a:srgbClr val="000000"/>
              </a:solidFill>
              <a:latin typeface="Arial"/>
              <a:cs typeface="Arial"/>
            </a:rPr>
            <a:t>Perform Regression analysis using Data Analysis under Excel </a:t>
          </a:r>
          <a:r>
            <a:rPr lang="en-IN" sz="1000" b="0" i="0" u="sng" strike="noStrike" baseline="0">
              <a:solidFill>
                <a:srgbClr val="000000"/>
              </a:solidFill>
              <a:latin typeface="Arial"/>
              <a:cs typeface="Arial"/>
            </a:rPr>
            <a:t>T</a:t>
          </a:r>
          <a:r>
            <a:rPr lang="en-IN" sz="1000" b="0" i="0" u="none" strike="noStrike" baseline="0">
              <a:solidFill>
                <a:srgbClr val="000000"/>
              </a:solidFill>
              <a:latin typeface="Arial"/>
              <a:cs typeface="Arial"/>
            </a:rPr>
            <a:t>ools.</a:t>
          </a:r>
        </a:p>
      </xdr:txBody>
    </xdr:sp>
    <xdr:clientData/>
  </xdr:twoCellAnchor>
  <xdr:twoCellAnchor>
    <xdr:from>
      <xdr:col>7</xdr:col>
      <xdr:colOff>38100</xdr:colOff>
      <xdr:row>67</xdr:row>
      <xdr:rowOff>25400</xdr:rowOff>
    </xdr:from>
    <xdr:to>
      <xdr:col>10</xdr:col>
      <xdr:colOff>171450</xdr:colOff>
      <xdr:row>75</xdr:row>
      <xdr:rowOff>133350</xdr:rowOff>
    </xdr:to>
    <xdr:sp macro="" textlink="" fLocksText="0">
      <xdr:nvSpPr>
        <xdr:cNvPr id="16387" name="AutoShape 3">
          <a:extLst>
            <a:ext uri="{FF2B5EF4-FFF2-40B4-BE49-F238E27FC236}">
              <a16:creationId xmlns:a16="http://schemas.microsoft.com/office/drawing/2014/main" id="{00000000-0008-0000-0F00-000003400000}"/>
            </a:ext>
          </a:extLst>
        </xdr:cNvPr>
        <xdr:cNvSpPr>
          <a:spLocks/>
        </xdr:cNvSpPr>
      </xdr:nvSpPr>
      <xdr:spPr bwMode="auto">
        <a:xfrm rot="10800000">
          <a:off x="1504950" y="10966450"/>
          <a:ext cx="1638300" cy="1390650"/>
        </a:xfrm>
        <a:prstGeom prst="borderCallout1">
          <a:avLst>
            <a:gd name="adj1" fmla="val 91995"/>
            <a:gd name="adj2" fmla="val -4852"/>
            <a:gd name="adj3" fmla="val 47995"/>
            <a:gd name="adj4" fmla="val -224245"/>
          </a:avLst>
        </a:prstGeom>
        <a:solidFill>
          <a:srgbClr val="99CCFF"/>
        </a:solidFill>
        <a:ln w="9360">
          <a:solidFill>
            <a:srgbClr val="000000"/>
          </a:solidFill>
          <a:miter lim="800000"/>
          <a:headEnd/>
          <a:tailEnd type="triangle" w="med" len="med"/>
        </a:ln>
        <a:effectLst/>
      </xdr:spPr>
      <xdr:txBody>
        <a:bodyPr vertOverflow="clip" wrap="square" lIns="27360" tIns="22680" rIns="0" bIns="0" anchor="t"/>
        <a:lstStyle/>
        <a:p>
          <a:pPr algn="l" rtl="0">
            <a:defRPr sz="1000"/>
          </a:pPr>
          <a:r>
            <a:rPr lang="en-IN" sz="1000" b="0" i="0" u="none" strike="noStrike" baseline="0">
              <a:solidFill>
                <a:srgbClr val="000000"/>
              </a:solidFill>
              <a:latin typeface="Arial"/>
              <a:cs typeface="Arial"/>
            </a:rPr>
            <a:t>Convert P-values to percentages (except for Intercept.) Any factor less than 5% is significant or confounding.</a:t>
          </a:r>
        </a:p>
        <a:p>
          <a:pPr algn="l" rtl="0">
            <a:defRPr sz="1000"/>
          </a:pPr>
          <a:r>
            <a:rPr lang="en-IN" sz="1000" b="0" i="0" u="none" strike="noStrike" baseline="0">
              <a:solidFill>
                <a:srgbClr val="000000"/>
              </a:solidFill>
              <a:latin typeface="Arial"/>
              <a:cs typeface="Arial"/>
            </a:rPr>
            <a:t>Perform Full Factorial to determine which factors are significant.</a:t>
          </a:r>
        </a:p>
      </xdr:txBody>
    </xdr:sp>
    <xdr:clientData/>
  </xdr:twoCellAnchor>
  <xdr:twoCellAnchor>
    <xdr:from>
      <xdr:col>11</xdr:col>
      <xdr:colOff>501650</xdr:colOff>
      <xdr:row>78</xdr:row>
      <xdr:rowOff>120650</xdr:rowOff>
    </xdr:from>
    <xdr:to>
      <xdr:col>14</xdr:col>
      <xdr:colOff>247650</xdr:colOff>
      <xdr:row>87</xdr:row>
      <xdr:rowOff>88900</xdr:rowOff>
    </xdr:to>
    <xdr:sp macro="" textlink="" fLocksText="0">
      <xdr:nvSpPr>
        <xdr:cNvPr id="16388" name="AutoShape 4">
          <a:extLst>
            <a:ext uri="{FF2B5EF4-FFF2-40B4-BE49-F238E27FC236}">
              <a16:creationId xmlns:a16="http://schemas.microsoft.com/office/drawing/2014/main" id="{00000000-0008-0000-0F00-000004400000}"/>
            </a:ext>
          </a:extLst>
        </xdr:cNvPr>
        <xdr:cNvSpPr>
          <a:spLocks/>
        </xdr:cNvSpPr>
      </xdr:nvSpPr>
      <xdr:spPr bwMode="auto">
        <a:xfrm>
          <a:off x="4083050" y="12820650"/>
          <a:ext cx="2082800" cy="1428750"/>
        </a:xfrm>
        <a:prstGeom prst="borderCallout1">
          <a:avLst>
            <a:gd name="adj1" fmla="val 8056"/>
            <a:gd name="adj2" fmla="val -3704"/>
            <a:gd name="adj3" fmla="val 45639"/>
            <a:gd name="adj4" fmla="val -38426"/>
          </a:avLst>
        </a:prstGeom>
        <a:solidFill>
          <a:srgbClr val="99CCFF"/>
        </a:solidFill>
        <a:ln w="9360">
          <a:solidFill>
            <a:srgbClr val="000000"/>
          </a:solidFill>
          <a:miter lim="800000"/>
          <a:headEnd/>
          <a:tailEnd type="triangle" w="med" len="med"/>
        </a:ln>
        <a:effectLst/>
      </xdr:spPr>
      <xdr:txBody>
        <a:bodyPr vertOverflow="clip" wrap="square" lIns="27360" tIns="22680" rIns="27360" bIns="0" anchor="t"/>
        <a:lstStyle/>
        <a:p>
          <a:pPr algn="ctr" rtl="0">
            <a:defRPr sz="1000"/>
          </a:pPr>
          <a:r>
            <a:rPr lang="en-IN" sz="1000" b="0" i="0" u="none" strike="noStrike" baseline="0">
              <a:solidFill>
                <a:srgbClr val="000000"/>
              </a:solidFill>
              <a:latin typeface="Arial"/>
              <a:cs typeface="Arial"/>
            </a:rPr>
            <a:t>To run full factorial, first look at your experiments to see which need to be replicated and which you already have. (In this example, trial #2 uses the same levels as trial #1 above, trials #3 were the same level, etc.) Simply input the response from above in the response here.</a:t>
          </a:r>
        </a:p>
      </xdr:txBody>
    </xdr:sp>
    <xdr:clientData/>
  </xdr:twoCellAnchor>
  <xdr:twoCellAnchor>
    <xdr:from>
      <xdr:col>11</xdr:col>
      <xdr:colOff>889000</xdr:colOff>
      <xdr:row>88</xdr:row>
      <xdr:rowOff>95250</xdr:rowOff>
    </xdr:from>
    <xdr:to>
      <xdr:col>19</xdr:col>
      <xdr:colOff>323850</xdr:colOff>
      <xdr:row>98</xdr:row>
      <xdr:rowOff>158750</xdr:rowOff>
    </xdr:to>
    <xdr:sp macro="" textlink="" fLocksText="0">
      <xdr:nvSpPr>
        <xdr:cNvPr id="16389" name="AutoShape 5">
          <a:extLst>
            <a:ext uri="{FF2B5EF4-FFF2-40B4-BE49-F238E27FC236}">
              <a16:creationId xmlns:a16="http://schemas.microsoft.com/office/drawing/2014/main" id="{00000000-0008-0000-0F00-000005400000}"/>
            </a:ext>
          </a:extLst>
        </xdr:cNvPr>
        <xdr:cNvSpPr>
          <a:spLocks/>
        </xdr:cNvSpPr>
      </xdr:nvSpPr>
      <xdr:spPr bwMode="auto">
        <a:xfrm>
          <a:off x="4470400" y="14420850"/>
          <a:ext cx="5067300" cy="1682750"/>
        </a:xfrm>
        <a:prstGeom prst="borderCallout1">
          <a:avLst>
            <a:gd name="adj1" fmla="val 6778"/>
            <a:gd name="adj2" fmla="val -1519"/>
            <a:gd name="adj3" fmla="val -10736"/>
            <a:gd name="adj4" fmla="val -19167"/>
          </a:avLst>
        </a:prstGeom>
        <a:solidFill>
          <a:srgbClr val="99CCFF"/>
        </a:solidFill>
        <a:ln w="9360">
          <a:solidFill>
            <a:srgbClr val="000000"/>
          </a:solidFill>
          <a:miter lim="800000"/>
          <a:headEnd/>
          <a:tailEnd type="triangle" w="med" len="med"/>
        </a:ln>
        <a:effectLst/>
      </xdr:spPr>
      <xdr:txBody>
        <a:bodyPr vertOverflow="clip" wrap="square" lIns="27360" tIns="22680" rIns="0" bIns="0" anchor="t"/>
        <a:lstStyle/>
        <a:p>
          <a:pPr algn="l" rtl="0">
            <a:defRPr sz="1000"/>
          </a:pPr>
          <a:r>
            <a:rPr lang="en-IN" sz="1000" b="0" i="0" u="none" strike="noStrike" baseline="0">
              <a:solidFill>
                <a:srgbClr val="000000"/>
              </a:solidFill>
              <a:latin typeface="Arial"/>
              <a:cs typeface="Arial"/>
            </a:rPr>
            <a:t>2nd trial must be performed to separate confounding factor.</a:t>
          </a:r>
        </a:p>
        <a:p>
          <a:pPr algn="l" rtl="0">
            <a:defRPr sz="1000"/>
          </a:pPr>
          <a:endParaRPr lang="en-IN" sz="1000" b="0" i="0" u="none" strike="noStrike" baseline="0">
            <a:solidFill>
              <a:srgbClr val="000000"/>
            </a:solidFill>
            <a:latin typeface="Arial"/>
            <a:cs typeface="Arial"/>
          </a:endParaRPr>
        </a:p>
        <a:p>
          <a:pPr algn="l" rtl="0">
            <a:defRPr sz="1000"/>
          </a:pPr>
          <a:r>
            <a:rPr lang="en-IN" sz="1000" b="0" i="0" u="none" strike="noStrike" baseline="0">
              <a:solidFill>
                <a:srgbClr val="000000"/>
              </a:solidFill>
              <a:latin typeface="Arial"/>
              <a:cs typeface="Arial"/>
            </a:rPr>
            <a:t>NOTE:  When setting values to lowest level, choose a low setting that isn't at the same level as the factor levels you are using.  (ie, don't use zero if that is a level. Instead use 1 or 2.) In this example, set factors C, E &amp; F to 1 in Experimental Design software.</a:t>
          </a:r>
        </a:p>
        <a:p>
          <a:pPr algn="l" rtl="0">
            <a:defRPr sz="1000"/>
          </a:pPr>
          <a:endParaRPr lang="en-IN" sz="1000" b="0" i="0" u="none" strike="noStrike" baseline="0">
            <a:solidFill>
              <a:srgbClr val="000000"/>
            </a:solidFill>
            <a:latin typeface="Arial"/>
            <a:cs typeface="Arial"/>
          </a:endParaRPr>
        </a:p>
        <a:p>
          <a:pPr algn="l" rtl="0">
            <a:defRPr sz="1000"/>
          </a:pPr>
          <a:r>
            <a:rPr lang="en-IN" sz="1000" b="0" i="0" u="none" strike="noStrike" baseline="0">
              <a:solidFill>
                <a:srgbClr val="000000"/>
              </a:solidFill>
              <a:latin typeface="Arial"/>
              <a:cs typeface="Arial"/>
            </a:rPr>
            <a:t>Note to self -- when rerunning trials, input data from corresponding factors, not from the original array scheme.</a:t>
          </a:r>
        </a:p>
        <a:p>
          <a:pPr algn="l" rtl="0">
            <a:defRPr sz="1000"/>
          </a:pPr>
          <a:endParaRPr lang="en-IN" sz="1000" b="0" i="0" u="none" strike="noStrike" baseline="0">
            <a:solidFill>
              <a:srgbClr val="000000"/>
            </a:solidFill>
            <a:latin typeface="Arial"/>
            <a:cs typeface="Arial"/>
          </a:endParaRPr>
        </a:p>
        <a:p>
          <a:pPr algn="l" rtl="0">
            <a:defRPr sz="1000"/>
          </a:pPr>
          <a:r>
            <a:rPr lang="en-IN" sz="1000" b="0" i="0" u="none" strike="noStrike" baseline="0">
              <a:solidFill>
                <a:srgbClr val="000000"/>
              </a:solidFill>
              <a:latin typeface="Arial"/>
              <a:cs typeface="Arial"/>
            </a:rPr>
            <a:t>Also rerun the highesst and lowest responses.</a:t>
          </a:r>
        </a:p>
      </xdr:txBody>
    </xdr:sp>
    <xdr:clientData/>
  </xdr:twoCellAnchor>
  <xdr:twoCellAnchor>
    <xdr:from>
      <xdr:col>10</xdr:col>
      <xdr:colOff>482600</xdr:colOff>
      <xdr:row>147</xdr:row>
      <xdr:rowOff>44450</xdr:rowOff>
    </xdr:from>
    <xdr:to>
      <xdr:col>12</xdr:col>
      <xdr:colOff>190500</xdr:colOff>
      <xdr:row>148</xdr:row>
      <xdr:rowOff>133350</xdr:rowOff>
    </xdr:to>
    <xdr:sp macro="" textlink="">
      <xdr:nvSpPr>
        <xdr:cNvPr id="16397" name="Line 6">
          <a:extLst>
            <a:ext uri="{FF2B5EF4-FFF2-40B4-BE49-F238E27FC236}">
              <a16:creationId xmlns:a16="http://schemas.microsoft.com/office/drawing/2014/main" id="{00000000-0008-0000-0F00-00000D400000}"/>
            </a:ext>
          </a:extLst>
        </xdr:cNvPr>
        <xdr:cNvSpPr>
          <a:spLocks noChangeShapeType="1"/>
        </xdr:cNvSpPr>
      </xdr:nvSpPr>
      <xdr:spPr bwMode="auto">
        <a:xfrm>
          <a:off x="3454400" y="23876000"/>
          <a:ext cx="1435100" cy="247650"/>
        </a:xfrm>
        <a:prstGeom prst="line">
          <a:avLst/>
        </a:prstGeom>
        <a:noFill/>
        <a:ln w="9360">
          <a:solidFill>
            <a:srgbClr val="000000"/>
          </a:solidFill>
          <a:miter lim="800000"/>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9</xdr:col>
      <xdr:colOff>387350</xdr:colOff>
      <xdr:row>141</xdr:row>
      <xdr:rowOff>76200</xdr:rowOff>
    </xdr:from>
    <xdr:to>
      <xdr:col>9</xdr:col>
      <xdr:colOff>469900</xdr:colOff>
      <xdr:row>145</xdr:row>
      <xdr:rowOff>50800</xdr:rowOff>
    </xdr:to>
    <xdr:sp macro="" textlink="">
      <xdr:nvSpPr>
        <xdr:cNvPr id="16398" name="Line 7">
          <a:extLst>
            <a:ext uri="{FF2B5EF4-FFF2-40B4-BE49-F238E27FC236}">
              <a16:creationId xmlns:a16="http://schemas.microsoft.com/office/drawing/2014/main" id="{00000000-0008-0000-0F00-00000E400000}"/>
            </a:ext>
          </a:extLst>
        </xdr:cNvPr>
        <xdr:cNvSpPr>
          <a:spLocks noChangeShapeType="1"/>
        </xdr:cNvSpPr>
      </xdr:nvSpPr>
      <xdr:spPr bwMode="auto">
        <a:xfrm flipH="1" flipV="1">
          <a:off x="2711450" y="22948900"/>
          <a:ext cx="82550" cy="609600"/>
        </a:xfrm>
        <a:prstGeom prst="line">
          <a:avLst/>
        </a:prstGeom>
        <a:noFill/>
        <a:ln w="9360">
          <a:solidFill>
            <a:srgbClr val="000000"/>
          </a:solidFill>
          <a:miter lim="800000"/>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wsDr>
</file>

<file path=xl/drawings/drawing14.xml><?xml version="1.0" encoding="utf-8"?>
<xdr:wsDr xmlns:xdr="http://schemas.openxmlformats.org/drawingml/2006/spreadsheetDrawing" xmlns:a="http://schemas.openxmlformats.org/drawingml/2006/main">
  <xdr:twoCellAnchor>
    <xdr:from>
      <xdr:col>0</xdr:col>
      <xdr:colOff>469900</xdr:colOff>
      <xdr:row>199</xdr:row>
      <xdr:rowOff>69850</xdr:rowOff>
    </xdr:from>
    <xdr:to>
      <xdr:col>7</xdr:col>
      <xdr:colOff>368300</xdr:colOff>
      <xdr:row>208</xdr:row>
      <xdr:rowOff>107950</xdr:rowOff>
    </xdr:to>
    <xdr:sp macro="" textlink="" fLocksText="0">
      <xdr:nvSpPr>
        <xdr:cNvPr id="17409" name="AutoShape 1">
          <a:extLst>
            <a:ext uri="{FF2B5EF4-FFF2-40B4-BE49-F238E27FC236}">
              <a16:creationId xmlns:a16="http://schemas.microsoft.com/office/drawing/2014/main" id="{00000000-0008-0000-1000-000001440000}"/>
            </a:ext>
          </a:extLst>
        </xdr:cNvPr>
        <xdr:cNvSpPr>
          <a:spLocks/>
        </xdr:cNvSpPr>
      </xdr:nvSpPr>
      <xdr:spPr bwMode="auto">
        <a:xfrm rot="10800000">
          <a:off x="469900" y="32073850"/>
          <a:ext cx="2286000" cy="1473200"/>
        </a:xfrm>
        <a:prstGeom prst="borderCallout1">
          <a:avLst>
            <a:gd name="adj1" fmla="val 92403"/>
            <a:gd name="adj2" fmla="val -3495"/>
            <a:gd name="adj3" fmla="val 129111"/>
            <a:gd name="adj4" fmla="val -27079"/>
          </a:avLst>
        </a:prstGeom>
        <a:solidFill>
          <a:srgbClr val="99CCFF"/>
        </a:solidFill>
        <a:ln w="9360">
          <a:solidFill>
            <a:srgbClr val="000000"/>
          </a:solidFill>
          <a:miter lim="800000"/>
          <a:headEnd/>
          <a:tailEnd type="triangle" w="med" len="med"/>
        </a:ln>
        <a:effectLst/>
      </xdr:spPr>
      <xdr:txBody>
        <a:bodyPr vertOverflow="clip" wrap="square" lIns="27360" tIns="22680" rIns="27360" bIns="22680" anchor="ctr"/>
        <a:lstStyle/>
        <a:p>
          <a:pPr algn="ctr" rtl="0">
            <a:defRPr sz="1000"/>
          </a:pPr>
          <a:r>
            <a:rPr lang="en-IN" sz="1000" b="0" i="0" u="none" strike="noStrike" baseline="0">
              <a:solidFill>
                <a:srgbClr val="000000"/>
              </a:solidFill>
              <a:latin typeface="Arial"/>
              <a:cs typeface="Arial"/>
            </a:rPr>
            <a:t>To run full factorial, first look at your experiments to see which need to be replicated and which you already have. (In this example, trial #2 uses the same levels as trial #1 above, trials #3 were the same level, etc.) Simply input the response from above in the response below.</a:t>
          </a:r>
        </a:p>
      </xdr:txBody>
    </xdr:sp>
    <xdr:clientData/>
  </xdr:twoCellAnchor>
  <xdr:twoCellAnchor>
    <xdr:from>
      <xdr:col>0</xdr:col>
      <xdr:colOff>0</xdr:colOff>
      <xdr:row>28</xdr:row>
      <xdr:rowOff>44450</xdr:rowOff>
    </xdr:from>
    <xdr:to>
      <xdr:col>19</xdr:col>
      <xdr:colOff>501650</xdr:colOff>
      <xdr:row>73</xdr:row>
      <xdr:rowOff>76200</xdr:rowOff>
    </xdr:to>
    <xdr:pic>
      <xdr:nvPicPr>
        <xdr:cNvPr id="17420" name="Picture 2">
          <a:extLst>
            <a:ext uri="{FF2B5EF4-FFF2-40B4-BE49-F238E27FC236}">
              <a16:creationId xmlns:a16="http://schemas.microsoft.com/office/drawing/2014/main" id="{00000000-0008-0000-1000-00000C44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635500"/>
          <a:ext cx="10204450" cy="71755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6</xdr:col>
      <xdr:colOff>209550</xdr:colOff>
      <xdr:row>4</xdr:row>
      <xdr:rowOff>114300</xdr:rowOff>
    </xdr:from>
    <xdr:to>
      <xdr:col>8</xdr:col>
      <xdr:colOff>12700</xdr:colOff>
      <xdr:row>6</xdr:row>
      <xdr:rowOff>57150</xdr:rowOff>
    </xdr:to>
    <xdr:sp macro="" textlink="" fLocksText="0">
      <xdr:nvSpPr>
        <xdr:cNvPr id="17411" name="AutoShape 3">
          <a:extLst>
            <a:ext uri="{FF2B5EF4-FFF2-40B4-BE49-F238E27FC236}">
              <a16:creationId xmlns:a16="http://schemas.microsoft.com/office/drawing/2014/main" id="{00000000-0008-0000-1000-000003440000}"/>
            </a:ext>
          </a:extLst>
        </xdr:cNvPr>
        <xdr:cNvSpPr>
          <a:spLocks/>
        </xdr:cNvSpPr>
      </xdr:nvSpPr>
      <xdr:spPr bwMode="auto">
        <a:xfrm>
          <a:off x="2317750" y="812800"/>
          <a:ext cx="768350" cy="273050"/>
        </a:xfrm>
        <a:prstGeom prst="borderCallout2">
          <a:avLst>
            <a:gd name="adj1" fmla="val 42856"/>
            <a:gd name="adj2" fmla="val -11111"/>
            <a:gd name="adj3" fmla="val 42856"/>
            <a:gd name="adj4" fmla="val -80556"/>
            <a:gd name="adj5" fmla="val 175000"/>
            <a:gd name="adj6" fmla="val -126389"/>
          </a:avLst>
        </a:prstGeom>
        <a:solidFill>
          <a:srgbClr val="FFFFFF"/>
        </a:solidFill>
        <a:ln w="28440">
          <a:solidFill>
            <a:srgbClr val="0000FF"/>
          </a:solidFill>
          <a:miter lim="800000"/>
          <a:headEnd/>
          <a:tailEnd type="triangle" w="med" len="med"/>
        </a:ln>
        <a:effectLst/>
      </xdr:spPr>
      <xdr:txBody>
        <a:bodyPr vertOverflow="clip" wrap="square" lIns="27360" tIns="22680" rIns="27360" bIns="22680" anchor="ctr"/>
        <a:lstStyle/>
        <a:p>
          <a:pPr algn="ctr" rtl="0">
            <a:defRPr sz="1000"/>
          </a:pPr>
          <a:r>
            <a:rPr lang="en-IN" sz="1000" b="1" i="0" u="none" strike="noStrike" baseline="0">
              <a:solidFill>
                <a:srgbClr val="000000"/>
              </a:solidFill>
              <a:latin typeface="Arial"/>
              <a:cs typeface="Arial"/>
            </a:rPr>
            <a:t>L8 array</a:t>
          </a:r>
        </a:p>
      </xdr:txBody>
    </xdr:sp>
    <xdr:clientData/>
  </xdr:twoCellAnchor>
  <xdr:twoCellAnchor>
    <xdr:from>
      <xdr:col>10</xdr:col>
      <xdr:colOff>190500</xdr:colOff>
      <xdr:row>118</xdr:row>
      <xdr:rowOff>88900</xdr:rowOff>
    </xdr:from>
    <xdr:to>
      <xdr:col>15</xdr:col>
      <xdr:colOff>641350</xdr:colOff>
      <xdr:row>122</xdr:row>
      <xdr:rowOff>95250</xdr:rowOff>
    </xdr:to>
    <xdr:sp macro="" textlink="" fLocksText="0">
      <xdr:nvSpPr>
        <xdr:cNvPr id="17412" name="AutoShape 4">
          <a:extLst>
            <a:ext uri="{FF2B5EF4-FFF2-40B4-BE49-F238E27FC236}">
              <a16:creationId xmlns:a16="http://schemas.microsoft.com/office/drawing/2014/main" id="{00000000-0008-0000-1000-000004440000}"/>
            </a:ext>
          </a:extLst>
        </xdr:cNvPr>
        <xdr:cNvSpPr>
          <a:spLocks/>
        </xdr:cNvSpPr>
      </xdr:nvSpPr>
      <xdr:spPr bwMode="auto">
        <a:xfrm>
          <a:off x="4495800" y="19100800"/>
          <a:ext cx="1689100" cy="666750"/>
        </a:xfrm>
        <a:prstGeom prst="borderCallout1">
          <a:avLst>
            <a:gd name="adj1" fmla="val 17394"/>
            <a:gd name="adj2" fmla="val -4704"/>
            <a:gd name="adj3" fmla="val 117394"/>
            <a:gd name="adj4" fmla="val -94704"/>
          </a:avLst>
        </a:prstGeom>
        <a:solidFill>
          <a:srgbClr val="99CCFF"/>
        </a:solidFill>
        <a:ln w="9360">
          <a:solidFill>
            <a:srgbClr val="000000"/>
          </a:solidFill>
          <a:miter lim="800000"/>
          <a:headEnd/>
          <a:tailEnd type="triangle" w="med" len="med"/>
        </a:ln>
        <a:effectLst/>
      </xdr:spPr>
      <xdr:txBody>
        <a:bodyPr vertOverflow="clip" wrap="square" lIns="27360" tIns="22680" rIns="27360" bIns="22680" anchor="ctr"/>
        <a:lstStyle/>
        <a:p>
          <a:pPr algn="ctr" rtl="0">
            <a:defRPr sz="1000"/>
          </a:pPr>
          <a:r>
            <a:rPr lang="en-IN" sz="1000" b="1" i="0" u="none" strike="noStrike" baseline="0">
              <a:solidFill>
                <a:srgbClr val="000000"/>
              </a:solidFill>
              <a:latin typeface="Arial"/>
              <a:cs typeface="Arial"/>
            </a:rPr>
            <a:t>Need to replicate at least 2 trials!!  (To show significance.)</a:t>
          </a:r>
        </a:p>
      </xdr:txBody>
    </xdr:sp>
    <xdr:clientData/>
  </xdr:twoCellAnchor>
  <xdr:twoCellAnchor>
    <xdr:from>
      <xdr:col>10</xdr:col>
      <xdr:colOff>196850</xdr:colOff>
      <xdr:row>125</xdr:row>
      <xdr:rowOff>114300</xdr:rowOff>
    </xdr:from>
    <xdr:to>
      <xdr:col>15</xdr:col>
      <xdr:colOff>508000</xdr:colOff>
      <xdr:row>128</xdr:row>
      <xdr:rowOff>133350</xdr:rowOff>
    </xdr:to>
    <xdr:sp macro="" textlink="" fLocksText="0">
      <xdr:nvSpPr>
        <xdr:cNvPr id="17413" name="AutoShape 5">
          <a:extLst>
            <a:ext uri="{FF2B5EF4-FFF2-40B4-BE49-F238E27FC236}">
              <a16:creationId xmlns:a16="http://schemas.microsoft.com/office/drawing/2014/main" id="{00000000-0008-0000-1000-000005440000}"/>
            </a:ext>
          </a:extLst>
        </xdr:cNvPr>
        <xdr:cNvSpPr>
          <a:spLocks/>
        </xdr:cNvSpPr>
      </xdr:nvSpPr>
      <xdr:spPr bwMode="auto">
        <a:xfrm>
          <a:off x="4502150" y="20269200"/>
          <a:ext cx="1549400" cy="508000"/>
        </a:xfrm>
        <a:prstGeom prst="borderCallout1">
          <a:avLst>
            <a:gd name="adj1" fmla="val 22644"/>
            <a:gd name="adj2" fmla="val -5130"/>
            <a:gd name="adj3" fmla="val -39620"/>
            <a:gd name="adj4" fmla="val -76921"/>
          </a:avLst>
        </a:prstGeom>
        <a:solidFill>
          <a:srgbClr val="FF99CC"/>
        </a:solidFill>
        <a:ln w="9360">
          <a:solidFill>
            <a:srgbClr val="000000"/>
          </a:solidFill>
          <a:miter lim="800000"/>
          <a:headEnd/>
          <a:tailEnd type="triangle" w="med" len="med"/>
        </a:ln>
        <a:effectLst/>
      </xdr:spPr>
      <xdr:txBody>
        <a:bodyPr vertOverflow="clip" wrap="square" lIns="27360" tIns="22680" rIns="27360" bIns="22680" anchor="ctr"/>
        <a:lstStyle/>
        <a:p>
          <a:pPr algn="ctr" rtl="0">
            <a:defRPr sz="1000"/>
          </a:pPr>
          <a:r>
            <a:rPr lang="en-IN" sz="1000" b="1" i="0" u="none" strike="noStrike" baseline="0">
              <a:solidFill>
                <a:srgbClr val="000000"/>
              </a:solidFill>
              <a:latin typeface="Arial"/>
              <a:cs typeface="Arial"/>
            </a:rPr>
            <a:t>Summ of rows 1 thru 8 should = Zero</a:t>
          </a:r>
        </a:p>
      </xdr:txBody>
    </xdr:sp>
    <xdr:clientData/>
  </xdr:twoCellAnchor>
  <xdr:twoCellAnchor>
    <xdr:from>
      <xdr:col>10</xdr:col>
      <xdr:colOff>0</xdr:colOff>
      <xdr:row>73</xdr:row>
      <xdr:rowOff>152400</xdr:rowOff>
    </xdr:from>
    <xdr:to>
      <xdr:col>16</xdr:col>
      <xdr:colOff>704850</xdr:colOff>
      <xdr:row>82</xdr:row>
      <xdr:rowOff>57150</xdr:rowOff>
    </xdr:to>
    <xdr:sp macro="" textlink="" fLocksText="0">
      <xdr:nvSpPr>
        <xdr:cNvPr id="17414" name="AutoShape 6">
          <a:extLst>
            <a:ext uri="{FF2B5EF4-FFF2-40B4-BE49-F238E27FC236}">
              <a16:creationId xmlns:a16="http://schemas.microsoft.com/office/drawing/2014/main" id="{00000000-0008-0000-1000-000006440000}"/>
            </a:ext>
          </a:extLst>
        </xdr:cNvPr>
        <xdr:cNvSpPr>
          <a:spLocks/>
        </xdr:cNvSpPr>
      </xdr:nvSpPr>
      <xdr:spPr bwMode="auto">
        <a:xfrm>
          <a:off x="4305300" y="11887200"/>
          <a:ext cx="3251200" cy="1365250"/>
        </a:xfrm>
        <a:prstGeom prst="borderCallout1">
          <a:avLst>
            <a:gd name="adj1" fmla="val 8394"/>
            <a:gd name="adj2" fmla="val -2444"/>
            <a:gd name="adj3" fmla="val 40560"/>
            <a:gd name="adj4" fmla="val -32111"/>
          </a:avLst>
        </a:prstGeom>
        <a:solidFill>
          <a:srgbClr val="99CCFF"/>
        </a:solidFill>
        <a:ln w="9360">
          <a:solidFill>
            <a:srgbClr val="000000"/>
          </a:solidFill>
          <a:miter lim="800000"/>
          <a:headEnd/>
          <a:tailEnd type="triangle" w="med" len="med"/>
        </a:ln>
        <a:effectLst/>
      </xdr:spPr>
      <xdr:txBody>
        <a:bodyPr vertOverflow="clip" wrap="square" lIns="27360" tIns="22680" rIns="0" bIns="22680" anchor="ctr"/>
        <a:lstStyle/>
        <a:p>
          <a:pPr algn="l" rtl="0">
            <a:defRPr sz="1000"/>
          </a:pPr>
          <a:r>
            <a:rPr lang="en-IN" sz="1000" b="0" i="0" u="none" strike="noStrike" baseline="0">
              <a:solidFill>
                <a:srgbClr val="000000"/>
              </a:solidFill>
              <a:latin typeface="Arial"/>
              <a:cs typeface="Arial"/>
            </a:rPr>
            <a:t>Insert dummy column if you don't have 7 factors for L8 array, to simulate fully saturated design. Assign levels to dummy column per factorial design scheme, and convert all values to +1 &amp; -1 by using </a:t>
          </a:r>
          <a:r>
            <a:rPr lang="en-IN" sz="1000" b="0" i="0" u="sng" strike="noStrike" baseline="0">
              <a:solidFill>
                <a:srgbClr val="000000"/>
              </a:solidFill>
              <a:latin typeface="Arial"/>
              <a:cs typeface="Arial"/>
            </a:rPr>
            <a:t>E</a:t>
          </a:r>
          <a:r>
            <a:rPr lang="en-IN" sz="1000" b="0" i="0" u="none" strike="noStrike" baseline="0">
              <a:solidFill>
                <a:srgbClr val="000000"/>
              </a:solidFill>
              <a:latin typeface="Arial"/>
              <a:cs typeface="Arial"/>
            </a:rPr>
            <a:t>dit, </a:t>
          </a:r>
          <a:r>
            <a:rPr lang="en-IN" sz="1000" b="0" i="0" u="sng" strike="noStrike" baseline="0">
              <a:solidFill>
                <a:srgbClr val="000000"/>
              </a:solidFill>
              <a:latin typeface="Arial"/>
              <a:cs typeface="Arial"/>
            </a:rPr>
            <a:t>F</a:t>
          </a:r>
          <a:r>
            <a:rPr lang="en-IN" sz="1000" b="0" i="0" u="none" strike="noStrike" baseline="0">
              <a:solidFill>
                <a:srgbClr val="000000"/>
              </a:solidFill>
              <a:latin typeface="Arial"/>
              <a:cs typeface="Arial"/>
            </a:rPr>
            <a:t>ind function in Excel. (Hilite all factor levels, hit </a:t>
          </a:r>
          <a:r>
            <a:rPr lang="en-IN" sz="1000" b="0" i="0" u="sng" strike="noStrike" baseline="0">
              <a:solidFill>
                <a:srgbClr val="000000"/>
              </a:solidFill>
              <a:latin typeface="Arial"/>
              <a:cs typeface="Arial"/>
            </a:rPr>
            <a:t>E</a:t>
          </a:r>
          <a:r>
            <a:rPr lang="en-IN" sz="1000" b="0" i="0" u="none" strike="noStrike" baseline="0">
              <a:solidFill>
                <a:srgbClr val="000000"/>
              </a:solidFill>
              <a:latin typeface="Arial"/>
              <a:cs typeface="Arial"/>
            </a:rPr>
            <a:t>dit, </a:t>
          </a:r>
          <a:r>
            <a:rPr lang="en-IN" sz="1000" b="0" i="0" u="sng" strike="noStrike" baseline="0">
              <a:solidFill>
                <a:srgbClr val="000000"/>
              </a:solidFill>
              <a:latin typeface="Arial"/>
              <a:cs typeface="Arial"/>
            </a:rPr>
            <a:t>F</a:t>
          </a:r>
          <a:r>
            <a:rPr lang="en-IN" sz="1000" b="0" i="0" u="none" strike="noStrike" baseline="0">
              <a:solidFill>
                <a:srgbClr val="000000"/>
              </a:solidFill>
              <a:latin typeface="Arial"/>
              <a:cs typeface="Arial"/>
            </a:rPr>
            <a:t>ind, Re</a:t>
          </a:r>
          <a:r>
            <a:rPr lang="en-IN" sz="1000" b="0" i="0" u="sng" strike="noStrike" baseline="0">
              <a:solidFill>
                <a:srgbClr val="000000"/>
              </a:solidFill>
              <a:latin typeface="Arial"/>
              <a:cs typeface="Arial"/>
            </a:rPr>
            <a:t>p</a:t>
          </a:r>
          <a:r>
            <a:rPr lang="en-IN" sz="1000" b="0" i="0" u="none" strike="noStrike" baseline="0">
              <a:solidFill>
                <a:srgbClr val="000000"/>
              </a:solidFill>
              <a:latin typeface="Arial"/>
              <a:cs typeface="Arial"/>
            </a:rPr>
            <a:t>lace. Replace all high levels with 1 and low values with -1.) </a:t>
          </a:r>
        </a:p>
        <a:p>
          <a:pPr algn="l" rtl="0">
            <a:defRPr sz="1000"/>
          </a:pPr>
          <a:r>
            <a:rPr lang="en-IN" sz="1000" b="0" i="0" u="none" strike="noStrike" baseline="0">
              <a:solidFill>
                <a:srgbClr val="000000"/>
              </a:solidFill>
              <a:latin typeface="Arial"/>
              <a:cs typeface="Arial"/>
            </a:rPr>
            <a:t>Replicate highest and lowest trials.</a:t>
          </a:r>
        </a:p>
      </xdr:txBody>
    </xdr:sp>
    <xdr:clientData/>
  </xdr:twoCellAnchor>
  <xdr:twoCellAnchor>
    <xdr:from>
      <xdr:col>4</xdr:col>
      <xdr:colOff>57150</xdr:colOff>
      <xdr:row>141</xdr:row>
      <xdr:rowOff>38100</xdr:rowOff>
    </xdr:from>
    <xdr:to>
      <xdr:col>8</xdr:col>
      <xdr:colOff>546100</xdr:colOff>
      <xdr:row>144</xdr:row>
      <xdr:rowOff>133350</xdr:rowOff>
    </xdr:to>
    <xdr:sp macro="" textlink="" fLocksText="0">
      <xdr:nvSpPr>
        <xdr:cNvPr id="17415" name="AutoShape 7">
          <a:extLst>
            <a:ext uri="{FF2B5EF4-FFF2-40B4-BE49-F238E27FC236}">
              <a16:creationId xmlns:a16="http://schemas.microsoft.com/office/drawing/2014/main" id="{00000000-0008-0000-1000-000007440000}"/>
            </a:ext>
          </a:extLst>
        </xdr:cNvPr>
        <xdr:cNvSpPr>
          <a:spLocks/>
        </xdr:cNvSpPr>
      </xdr:nvSpPr>
      <xdr:spPr bwMode="auto">
        <a:xfrm>
          <a:off x="1574800" y="22796500"/>
          <a:ext cx="2044700" cy="577850"/>
        </a:xfrm>
        <a:prstGeom prst="borderCallout1">
          <a:avLst>
            <a:gd name="adj1" fmla="val 19671"/>
            <a:gd name="adj2" fmla="val 103903"/>
            <a:gd name="adj3" fmla="val -50819"/>
            <a:gd name="adj4" fmla="val 170245"/>
          </a:avLst>
        </a:prstGeom>
        <a:solidFill>
          <a:srgbClr val="99CCFF"/>
        </a:solidFill>
        <a:ln w="9360">
          <a:solidFill>
            <a:srgbClr val="000000"/>
          </a:solidFill>
          <a:miter lim="800000"/>
          <a:headEnd/>
          <a:tailEnd type="triangle" w="med" len="med"/>
        </a:ln>
        <a:effectLst/>
      </xdr:spPr>
      <xdr:txBody>
        <a:bodyPr vertOverflow="clip" wrap="square" lIns="27360" tIns="22680" rIns="27360" bIns="22680" anchor="ctr"/>
        <a:lstStyle/>
        <a:p>
          <a:pPr algn="ctr" rtl="0">
            <a:defRPr sz="1000"/>
          </a:pPr>
          <a:r>
            <a:rPr lang="en-IN" sz="1000" b="1" i="0" u="none" strike="noStrike" baseline="0">
              <a:solidFill>
                <a:srgbClr val="000000"/>
              </a:solidFill>
              <a:latin typeface="Arial"/>
              <a:cs typeface="Arial"/>
            </a:rPr>
            <a:t>After rerunning trials and inputting previous responses, rerun regression calculation.</a:t>
          </a:r>
        </a:p>
      </xdr:txBody>
    </xdr:sp>
    <xdr:clientData/>
  </xdr:twoCellAnchor>
  <xdr:twoCellAnchor>
    <xdr:from>
      <xdr:col>0</xdr:col>
      <xdr:colOff>177800</xdr:colOff>
      <xdr:row>173</xdr:row>
      <xdr:rowOff>6350</xdr:rowOff>
    </xdr:from>
    <xdr:to>
      <xdr:col>15</xdr:col>
      <xdr:colOff>133350</xdr:colOff>
      <xdr:row>183</xdr:row>
      <xdr:rowOff>63500</xdr:rowOff>
    </xdr:to>
    <xdr:sp macro="" textlink="" fLocksText="0">
      <xdr:nvSpPr>
        <xdr:cNvPr id="17416" name="Text Box 8">
          <a:extLst>
            <a:ext uri="{FF2B5EF4-FFF2-40B4-BE49-F238E27FC236}">
              <a16:creationId xmlns:a16="http://schemas.microsoft.com/office/drawing/2014/main" id="{00000000-0008-0000-1000-000008440000}"/>
            </a:ext>
          </a:extLst>
        </xdr:cNvPr>
        <xdr:cNvSpPr txBox="1">
          <a:spLocks noChangeArrowheads="1"/>
        </xdr:cNvSpPr>
      </xdr:nvSpPr>
      <xdr:spPr bwMode="auto">
        <a:xfrm>
          <a:off x="177800" y="27870150"/>
          <a:ext cx="5499100" cy="1644650"/>
        </a:xfrm>
        <a:prstGeom prst="rect">
          <a:avLst/>
        </a:prstGeom>
        <a:solidFill>
          <a:srgbClr val="99CCFF"/>
        </a:solidFill>
        <a:ln w="9360">
          <a:solidFill>
            <a:srgbClr val="000000"/>
          </a:solidFill>
          <a:miter lim="800000"/>
          <a:headEnd/>
          <a:tailEnd/>
        </a:ln>
        <a:effectLst/>
      </xdr:spPr>
      <xdr:txBody>
        <a:bodyPr vertOverflow="clip" wrap="square" lIns="27360" tIns="22680" rIns="0" bIns="0" anchor="t"/>
        <a:lstStyle/>
        <a:p>
          <a:pPr algn="l" rtl="0">
            <a:defRPr sz="1000"/>
          </a:pPr>
          <a:r>
            <a:rPr lang="en-IN" sz="1000" b="0" i="0" u="none" strike="noStrike" baseline="0">
              <a:solidFill>
                <a:srgbClr val="000000"/>
              </a:solidFill>
              <a:latin typeface="Arial"/>
              <a:cs typeface="Arial"/>
            </a:rPr>
            <a:t>A 2nd trial must be performed to separate confounding factor.</a:t>
          </a:r>
        </a:p>
        <a:p>
          <a:pPr algn="l" rtl="0">
            <a:defRPr sz="1000"/>
          </a:pPr>
          <a:endParaRPr lang="en-IN" sz="1000" b="0" i="0" u="none" strike="noStrike" baseline="0">
            <a:solidFill>
              <a:srgbClr val="000000"/>
            </a:solidFill>
            <a:latin typeface="Arial"/>
            <a:cs typeface="Arial"/>
          </a:endParaRPr>
        </a:p>
        <a:p>
          <a:pPr algn="l" rtl="0">
            <a:defRPr sz="1000"/>
          </a:pPr>
          <a:r>
            <a:rPr lang="en-IN" sz="1000" b="0" i="0" u="none" strike="noStrike" baseline="0">
              <a:solidFill>
                <a:srgbClr val="000000"/>
              </a:solidFill>
              <a:latin typeface="Arial"/>
              <a:cs typeface="Arial"/>
            </a:rPr>
            <a:t>NOTE:  When setting values to lowest level, choose a low setting that isn't at the same level as the factor levels you are using.  (ie, don't use zero if that is a level. Instead use 1 or 2.) In this example, set factors C, E &amp; F to 1 in Experimental Design software.</a:t>
          </a:r>
        </a:p>
        <a:p>
          <a:pPr algn="l" rtl="0">
            <a:defRPr sz="1000"/>
          </a:pPr>
          <a:endParaRPr lang="en-IN" sz="1000" b="0" i="0" u="none" strike="noStrike" baseline="0">
            <a:solidFill>
              <a:srgbClr val="000000"/>
            </a:solidFill>
            <a:latin typeface="Arial"/>
            <a:cs typeface="Arial"/>
          </a:endParaRPr>
        </a:p>
        <a:p>
          <a:pPr algn="l" rtl="0">
            <a:defRPr sz="1000"/>
          </a:pPr>
          <a:r>
            <a:rPr lang="en-IN" sz="1000" b="1" i="0" u="none" strike="noStrike" baseline="0">
              <a:solidFill>
                <a:srgbClr val="FFFFFF"/>
              </a:solidFill>
              <a:latin typeface="Arial"/>
              <a:cs typeface="Arial"/>
            </a:rPr>
            <a:t>Note to self -- when rerunning trials, input data from corresponding factors, not from the original array scheme.</a:t>
          </a:r>
        </a:p>
        <a:p>
          <a:pPr algn="l" rtl="0">
            <a:defRPr sz="1000"/>
          </a:pPr>
          <a:endParaRPr lang="en-IN" sz="1000" b="1" i="0" u="none" strike="noStrike" baseline="0">
            <a:solidFill>
              <a:srgbClr val="FFFFFF"/>
            </a:solidFill>
            <a:latin typeface="Arial"/>
            <a:cs typeface="Arial"/>
          </a:endParaRPr>
        </a:p>
        <a:p>
          <a:pPr algn="l" rtl="0">
            <a:defRPr sz="1000"/>
          </a:pPr>
          <a:r>
            <a:rPr lang="en-IN" sz="1000" b="0" i="0" u="none" strike="noStrike" baseline="0">
              <a:solidFill>
                <a:srgbClr val="000000"/>
              </a:solidFill>
              <a:latin typeface="Arial"/>
              <a:cs typeface="Arial"/>
            </a:rPr>
            <a:t>Also rerun the highesst and lowest responses.</a:t>
          </a:r>
        </a:p>
      </xdr:txBody>
    </xdr:sp>
    <xdr:clientData/>
  </xdr:twoCellAnchor>
  <xdr:twoCellAnchor>
    <xdr:from>
      <xdr:col>7</xdr:col>
      <xdr:colOff>425450</xdr:colOff>
      <xdr:row>207</xdr:row>
      <xdr:rowOff>120650</xdr:rowOff>
    </xdr:from>
    <xdr:to>
      <xdr:col>8</xdr:col>
      <xdr:colOff>196850</xdr:colOff>
      <xdr:row>214</xdr:row>
      <xdr:rowOff>107950</xdr:rowOff>
    </xdr:to>
    <xdr:sp macro="" textlink="">
      <xdr:nvSpPr>
        <xdr:cNvPr id="17427" name="Line 9">
          <a:extLst>
            <a:ext uri="{FF2B5EF4-FFF2-40B4-BE49-F238E27FC236}">
              <a16:creationId xmlns:a16="http://schemas.microsoft.com/office/drawing/2014/main" id="{00000000-0008-0000-1000-000013440000}"/>
            </a:ext>
          </a:extLst>
        </xdr:cNvPr>
        <xdr:cNvSpPr>
          <a:spLocks noChangeShapeType="1"/>
        </xdr:cNvSpPr>
      </xdr:nvSpPr>
      <xdr:spPr bwMode="auto">
        <a:xfrm>
          <a:off x="2813050" y="33401000"/>
          <a:ext cx="457200" cy="1104900"/>
        </a:xfrm>
        <a:prstGeom prst="line">
          <a:avLst/>
        </a:prstGeom>
        <a:noFill/>
        <a:ln w="9360">
          <a:solidFill>
            <a:srgbClr val="000000"/>
          </a:solidFill>
          <a:miter lim="800000"/>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4</xdr:col>
      <xdr:colOff>292100</xdr:colOff>
      <xdr:row>235</xdr:row>
      <xdr:rowOff>25400</xdr:rowOff>
    </xdr:from>
    <xdr:to>
      <xdr:col>13</xdr:col>
      <xdr:colOff>57150</xdr:colOff>
      <xdr:row>240</xdr:row>
      <xdr:rowOff>57150</xdr:rowOff>
    </xdr:to>
    <xdr:sp macro="" textlink="" fLocksText="0">
      <xdr:nvSpPr>
        <xdr:cNvPr id="17418" name="AutoShape 10">
          <a:extLst>
            <a:ext uri="{FF2B5EF4-FFF2-40B4-BE49-F238E27FC236}">
              <a16:creationId xmlns:a16="http://schemas.microsoft.com/office/drawing/2014/main" id="{00000000-0008-0000-1000-00000A440000}"/>
            </a:ext>
          </a:extLst>
        </xdr:cNvPr>
        <xdr:cNvSpPr>
          <a:spLocks/>
        </xdr:cNvSpPr>
      </xdr:nvSpPr>
      <xdr:spPr bwMode="auto">
        <a:xfrm rot="10800000">
          <a:off x="1809750" y="37833300"/>
          <a:ext cx="3295650" cy="825500"/>
        </a:xfrm>
        <a:prstGeom prst="borderCallout1">
          <a:avLst>
            <a:gd name="adj1" fmla="val 86514"/>
            <a:gd name="adj2" fmla="val -2634"/>
            <a:gd name="adj3" fmla="val 133704"/>
            <a:gd name="adj4" fmla="val -54606"/>
          </a:avLst>
        </a:prstGeom>
        <a:solidFill>
          <a:srgbClr val="99CCFF"/>
        </a:solidFill>
        <a:ln w="22320">
          <a:solidFill>
            <a:srgbClr val="000000"/>
          </a:solidFill>
          <a:miter lim="800000"/>
          <a:headEnd/>
          <a:tailEnd type="triangle" w="med" len="med"/>
        </a:ln>
        <a:effectLst/>
      </xdr:spPr>
      <xdr:txBody>
        <a:bodyPr vertOverflow="clip" wrap="square" lIns="27360" tIns="22680" rIns="27360" bIns="22680" anchor="ctr"/>
        <a:lstStyle/>
        <a:p>
          <a:pPr algn="ctr" rtl="0">
            <a:defRPr sz="1000"/>
          </a:pPr>
          <a:r>
            <a:rPr lang="en-IN" sz="1000" b="1" i="0" u="none" strike="noStrike" baseline="0">
              <a:solidFill>
                <a:srgbClr val="000000"/>
              </a:solidFill>
              <a:latin typeface="Arial"/>
              <a:cs typeface="Arial"/>
            </a:rPr>
            <a:t>When determining significant factors through analysis of coefficients, use the values that return the greatest amount of change.</a:t>
          </a: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5</xdr:col>
      <xdr:colOff>31750</xdr:colOff>
      <xdr:row>10</xdr:row>
      <xdr:rowOff>6350</xdr:rowOff>
    </xdr:from>
    <xdr:to>
      <xdr:col>7</xdr:col>
      <xdr:colOff>285750</xdr:colOff>
      <xdr:row>22</xdr:row>
      <xdr:rowOff>152400</xdr:rowOff>
    </xdr:to>
    <xdr:sp macro="" textlink="">
      <xdr:nvSpPr>
        <xdr:cNvPr id="18434" name="AutoShape 1">
          <a:extLst>
            <a:ext uri="{FF2B5EF4-FFF2-40B4-BE49-F238E27FC236}">
              <a16:creationId xmlns:a16="http://schemas.microsoft.com/office/drawing/2014/main" id="{00000000-0008-0000-1100-000002480000}"/>
            </a:ext>
          </a:extLst>
        </xdr:cNvPr>
        <xdr:cNvSpPr>
          <a:spLocks noChangeArrowheads="1"/>
        </xdr:cNvSpPr>
      </xdr:nvSpPr>
      <xdr:spPr bwMode="auto">
        <a:xfrm>
          <a:off x="3079750" y="1663700"/>
          <a:ext cx="1473200" cy="2051050"/>
        </a:xfrm>
        <a:prstGeom prst="rtTriangle">
          <a:avLst/>
        </a:prstGeom>
        <a:solidFill>
          <a:srgbClr val="FFFFFF"/>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304800</xdr:colOff>
      <xdr:row>0</xdr:row>
      <xdr:rowOff>38100</xdr:rowOff>
    </xdr:from>
    <xdr:to>
      <xdr:col>6</xdr:col>
      <xdr:colOff>76200</xdr:colOff>
      <xdr:row>4</xdr:row>
      <xdr:rowOff>190500</xdr:rowOff>
    </xdr:to>
    <xdr:sp macro="" textlink="" fLocksText="0">
      <xdr:nvSpPr>
        <xdr:cNvPr id="2049" name="Text Box 1">
          <a:extLst>
            <a:ext uri="{FF2B5EF4-FFF2-40B4-BE49-F238E27FC236}">
              <a16:creationId xmlns:a16="http://schemas.microsoft.com/office/drawing/2014/main" id="{00000000-0008-0000-0100-000001080000}"/>
            </a:ext>
          </a:extLst>
        </xdr:cNvPr>
        <xdr:cNvSpPr txBox="1">
          <a:spLocks noChangeArrowheads="1"/>
        </xdr:cNvSpPr>
      </xdr:nvSpPr>
      <xdr:spPr bwMode="auto">
        <a:xfrm>
          <a:off x="4349750" y="38100"/>
          <a:ext cx="4089400" cy="800100"/>
        </a:xfrm>
        <a:prstGeom prst="rect">
          <a:avLst/>
        </a:prstGeom>
        <a:solidFill>
          <a:srgbClr val="99CCFF"/>
        </a:solidFill>
        <a:ln w="9360">
          <a:solidFill>
            <a:srgbClr val="000000"/>
          </a:solidFill>
          <a:miter lim="800000"/>
          <a:headEnd/>
          <a:tailEnd/>
        </a:ln>
        <a:effectLst/>
      </xdr:spPr>
      <xdr:txBody>
        <a:bodyPr vertOverflow="clip" wrap="square" lIns="27360" tIns="22680" rIns="0" bIns="0" anchor="t"/>
        <a:lstStyle/>
        <a:p>
          <a:pPr algn="l" rtl="0">
            <a:defRPr sz="1000"/>
          </a:pPr>
          <a:r>
            <a:rPr lang="en-IN" sz="1000" b="1" i="0" u="sng" strike="noStrike" baseline="0">
              <a:solidFill>
                <a:srgbClr val="000000"/>
              </a:solidFill>
              <a:latin typeface="Arial"/>
              <a:cs typeface="Arial"/>
            </a:rPr>
            <a:t>Sample Question: </a:t>
          </a:r>
          <a:r>
            <a:rPr lang="en-IN" sz="1000" b="1" i="1" u="sng" strike="noStrike" baseline="0">
              <a:solidFill>
                <a:srgbClr val="000000"/>
              </a:solidFill>
              <a:latin typeface="Arial"/>
              <a:cs typeface="Arial"/>
            </a:rPr>
            <a:t>Weibull</a:t>
          </a:r>
        </a:p>
        <a:p>
          <a:pPr algn="l" rtl="0">
            <a:defRPr sz="1000"/>
          </a:pPr>
          <a:r>
            <a:rPr lang="en-IN" sz="1000" b="0" i="0" u="none" strike="noStrike" baseline="0">
              <a:solidFill>
                <a:srgbClr val="000000"/>
              </a:solidFill>
              <a:latin typeface="Arial"/>
              <a:cs typeface="Arial"/>
            </a:rPr>
            <a:t>What is the probability that a randomly selected item from a population having a Weibull distribution with a shape parameter of 1.1 and a scale parameter of 114.2 has a value between 151 and 165.8?</a:t>
          </a:r>
        </a:p>
        <a:p>
          <a:pPr algn="l" rtl="0">
            <a:defRPr sz="1000"/>
          </a:pPr>
          <a:r>
            <a:rPr lang="en-IN" sz="1000" b="0" i="0" u="none" strike="noStrike" baseline="0">
              <a:solidFill>
                <a:srgbClr val="000000"/>
              </a:solidFill>
              <a:latin typeface="Arial"/>
              <a:cs typeface="Arial"/>
            </a:rPr>
            <a:t>Answer = .0352, 3.52%</a:t>
          </a:r>
        </a:p>
      </xdr:txBody>
    </xdr:sp>
    <xdr:clientData/>
  </xdr:twoCellAnchor>
  <xdr:twoCellAnchor>
    <xdr:from>
      <xdr:col>0</xdr:col>
      <xdr:colOff>0</xdr:colOff>
      <xdr:row>39</xdr:row>
      <xdr:rowOff>107950</xdr:rowOff>
    </xdr:from>
    <xdr:to>
      <xdr:col>0</xdr:col>
      <xdr:colOff>3149600</xdr:colOff>
      <xdr:row>48</xdr:row>
      <xdr:rowOff>25400</xdr:rowOff>
    </xdr:to>
    <xdr:sp macro="" textlink="" fLocksText="0">
      <xdr:nvSpPr>
        <xdr:cNvPr id="2050" name="Text Box 2">
          <a:extLst>
            <a:ext uri="{FF2B5EF4-FFF2-40B4-BE49-F238E27FC236}">
              <a16:creationId xmlns:a16="http://schemas.microsoft.com/office/drawing/2014/main" id="{00000000-0008-0000-0100-000002080000}"/>
            </a:ext>
          </a:extLst>
        </xdr:cNvPr>
        <xdr:cNvSpPr txBox="1">
          <a:spLocks noChangeArrowheads="1"/>
        </xdr:cNvSpPr>
      </xdr:nvSpPr>
      <xdr:spPr bwMode="auto">
        <a:xfrm>
          <a:off x="0" y="6978650"/>
          <a:ext cx="3149600" cy="1352550"/>
        </a:xfrm>
        <a:prstGeom prst="rect">
          <a:avLst/>
        </a:prstGeom>
        <a:solidFill>
          <a:srgbClr val="99CCFF"/>
        </a:solidFill>
        <a:ln w="9360">
          <a:solidFill>
            <a:srgbClr val="000000"/>
          </a:solidFill>
          <a:miter lim="800000"/>
          <a:headEnd/>
          <a:tailEnd/>
        </a:ln>
        <a:effectLst/>
      </xdr:spPr>
      <xdr:txBody>
        <a:bodyPr vertOverflow="clip" wrap="square" lIns="27360" tIns="22680" rIns="0" bIns="0" anchor="t"/>
        <a:lstStyle/>
        <a:p>
          <a:pPr algn="l" rtl="0">
            <a:defRPr sz="1000"/>
          </a:pPr>
          <a:r>
            <a:rPr lang="en-IN" sz="1000" b="0" i="0" u="none" strike="noStrike" baseline="0">
              <a:solidFill>
                <a:srgbClr val="000000"/>
              </a:solidFill>
              <a:latin typeface="Arial"/>
              <a:cs typeface="Arial"/>
            </a:rPr>
            <a:t>Sample Question:  </a:t>
          </a:r>
          <a:r>
            <a:rPr lang="en-IN" sz="1000" b="0" i="1" u="none" strike="noStrike" baseline="0">
              <a:solidFill>
                <a:srgbClr val="000000"/>
              </a:solidFill>
              <a:latin typeface="Arial"/>
              <a:cs typeface="Arial"/>
            </a:rPr>
            <a:t>Lognormal Distribution</a:t>
          </a:r>
        </a:p>
        <a:p>
          <a:pPr algn="l" rtl="0">
            <a:defRPr sz="1000"/>
          </a:pPr>
          <a:r>
            <a:rPr lang="en-IN" sz="1000" b="0" i="0" u="none" strike="noStrike" baseline="0">
              <a:solidFill>
                <a:srgbClr val="000000"/>
              </a:solidFill>
              <a:latin typeface="Arial"/>
              <a:cs typeface="Arial"/>
            </a:rPr>
            <a:t>Given that the data (right) was randomly selected from a lognormal distribution.  What is the probability of the average of 39 randomly selected items being greater than 4?</a:t>
          </a:r>
        </a:p>
        <a:p>
          <a:pPr algn="l" rtl="0">
            <a:defRPr sz="1000"/>
          </a:pPr>
          <a:endParaRPr lang="en-IN" sz="1000" b="0" i="0" u="none" strike="noStrike" baseline="0">
            <a:solidFill>
              <a:srgbClr val="000000"/>
            </a:solidFill>
            <a:latin typeface="Arial"/>
            <a:cs typeface="Arial"/>
          </a:endParaRPr>
        </a:p>
        <a:p>
          <a:pPr algn="l" rtl="0">
            <a:defRPr sz="1000"/>
          </a:pPr>
          <a:r>
            <a:rPr lang="en-IN" sz="1000" b="0" i="0" u="none" strike="noStrike" baseline="0">
              <a:solidFill>
                <a:srgbClr val="000000"/>
              </a:solidFill>
              <a:latin typeface="Arial"/>
              <a:cs typeface="Arial"/>
            </a:rPr>
            <a:t>* NOTE: Click on cell to hilite formula. Enter data into formula manually.</a:t>
          </a:r>
        </a:p>
      </xdr:txBody>
    </xdr:sp>
    <xdr:clientData/>
  </xdr:twoCellAnchor>
  <xdr:twoCellAnchor>
    <xdr:from>
      <xdr:col>0</xdr:col>
      <xdr:colOff>0</xdr:colOff>
      <xdr:row>83</xdr:row>
      <xdr:rowOff>19050</xdr:rowOff>
    </xdr:from>
    <xdr:to>
      <xdr:col>0</xdr:col>
      <xdr:colOff>3149600</xdr:colOff>
      <xdr:row>87</xdr:row>
      <xdr:rowOff>139700</xdr:rowOff>
    </xdr:to>
    <xdr:sp macro="" textlink="" fLocksText="0">
      <xdr:nvSpPr>
        <xdr:cNvPr id="2051" name="Text Box 3">
          <a:extLst>
            <a:ext uri="{FF2B5EF4-FFF2-40B4-BE49-F238E27FC236}">
              <a16:creationId xmlns:a16="http://schemas.microsoft.com/office/drawing/2014/main" id="{00000000-0008-0000-0100-000003080000}"/>
            </a:ext>
          </a:extLst>
        </xdr:cNvPr>
        <xdr:cNvSpPr txBox="1">
          <a:spLocks noChangeArrowheads="1"/>
        </xdr:cNvSpPr>
      </xdr:nvSpPr>
      <xdr:spPr bwMode="auto">
        <a:xfrm>
          <a:off x="0" y="14001750"/>
          <a:ext cx="3149600" cy="755650"/>
        </a:xfrm>
        <a:prstGeom prst="rect">
          <a:avLst/>
        </a:prstGeom>
        <a:solidFill>
          <a:srgbClr val="99CCFF"/>
        </a:solidFill>
        <a:ln w="9360">
          <a:solidFill>
            <a:srgbClr val="000000"/>
          </a:solidFill>
          <a:miter lim="800000"/>
          <a:headEnd/>
          <a:tailEnd/>
        </a:ln>
        <a:effectLst/>
      </xdr:spPr>
      <xdr:txBody>
        <a:bodyPr vertOverflow="clip" wrap="square" lIns="27360" tIns="22680" rIns="0" bIns="0" anchor="t"/>
        <a:lstStyle/>
        <a:p>
          <a:pPr algn="l" rtl="0">
            <a:defRPr sz="1000"/>
          </a:pPr>
          <a:r>
            <a:rPr lang="en-IN" sz="1000" b="0" i="0" u="none" strike="noStrike" baseline="0">
              <a:solidFill>
                <a:srgbClr val="000000"/>
              </a:solidFill>
              <a:latin typeface="Arial"/>
              <a:cs typeface="Arial"/>
            </a:rPr>
            <a:t>Sample Question:  </a:t>
          </a:r>
          <a:r>
            <a:rPr lang="en-IN" sz="1000" b="0" i="1" u="none" strike="noStrike" baseline="0">
              <a:solidFill>
                <a:srgbClr val="000000"/>
              </a:solidFill>
              <a:latin typeface="Arial"/>
              <a:cs typeface="Arial"/>
            </a:rPr>
            <a:t>Lognormal Distribution</a:t>
          </a:r>
        </a:p>
        <a:p>
          <a:pPr algn="l" rtl="0">
            <a:defRPr sz="1000"/>
          </a:pPr>
          <a:r>
            <a:rPr lang="en-IN" sz="1000" b="0" i="0" u="none" strike="noStrike" baseline="0">
              <a:solidFill>
                <a:srgbClr val="000000"/>
              </a:solidFill>
              <a:latin typeface="Arial"/>
              <a:cs typeface="Arial"/>
            </a:rPr>
            <a:t>Given that the data (right) was randomly selected from a lognormal distribution.  74.63% is the probability of being less than what value?</a:t>
          </a:r>
        </a:p>
      </xdr:txBody>
    </xdr:sp>
    <xdr:clientData/>
  </xdr:twoCellAnchor>
  <xdr:twoCellAnchor>
    <xdr:from>
      <xdr:col>0</xdr:col>
      <xdr:colOff>615950</xdr:colOff>
      <xdr:row>88</xdr:row>
      <xdr:rowOff>38100</xdr:rowOff>
    </xdr:from>
    <xdr:to>
      <xdr:col>0</xdr:col>
      <xdr:colOff>2101850</xdr:colOff>
      <xdr:row>89</xdr:row>
      <xdr:rowOff>82550</xdr:rowOff>
    </xdr:to>
    <xdr:sp macro="" textlink="" fLocksText="0">
      <xdr:nvSpPr>
        <xdr:cNvPr id="2052" name="Text Box 4">
          <a:extLst>
            <a:ext uri="{FF2B5EF4-FFF2-40B4-BE49-F238E27FC236}">
              <a16:creationId xmlns:a16="http://schemas.microsoft.com/office/drawing/2014/main" id="{00000000-0008-0000-0100-000004080000}"/>
            </a:ext>
          </a:extLst>
        </xdr:cNvPr>
        <xdr:cNvSpPr txBox="1">
          <a:spLocks noChangeArrowheads="1"/>
        </xdr:cNvSpPr>
      </xdr:nvSpPr>
      <xdr:spPr bwMode="auto">
        <a:xfrm>
          <a:off x="615950" y="14814550"/>
          <a:ext cx="1485900" cy="203200"/>
        </a:xfrm>
        <a:prstGeom prst="rect">
          <a:avLst/>
        </a:prstGeom>
        <a:solidFill>
          <a:srgbClr val="CCFFCC"/>
        </a:solidFill>
        <a:ln w="9360">
          <a:solidFill>
            <a:srgbClr val="000000"/>
          </a:solidFill>
          <a:miter lim="800000"/>
          <a:headEnd/>
          <a:tailEnd/>
        </a:ln>
        <a:effectLst/>
      </xdr:spPr>
      <xdr:txBody>
        <a:bodyPr vertOverflow="clip" wrap="square" lIns="27360" tIns="22680" rIns="0" bIns="0" anchor="t"/>
        <a:lstStyle/>
        <a:p>
          <a:pPr algn="l" rtl="0">
            <a:defRPr sz="1000"/>
          </a:pPr>
          <a:r>
            <a:rPr lang="en-IN" sz="1000" b="0" i="0" u="none" strike="noStrike" baseline="0">
              <a:solidFill>
                <a:srgbClr val="000000"/>
              </a:solidFill>
              <a:latin typeface="Arial"/>
              <a:cs typeface="Arial"/>
            </a:rPr>
            <a:t>Answer = 4.151401758</a:t>
          </a:r>
        </a:p>
      </xdr:txBody>
    </xdr:sp>
    <xdr:clientData/>
  </xdr:twoCellAnchor>
  <xdr:twoCellAnchor>
    <xdr:from>
      <xdr:col>0</xdr:col>
      <xdr:colOff>342900</xdr:colOff>
      <xdr:row>73</xdr:row>
      <xdr:rowOff>101600</xdr:rowOff>
    </xdr:from>
    <xdr:to>
      <xdr:col>0</xdr:col>
      <xdr:colOff>2451100</xdr:colOff>
      <xdr:row>78</xdr:row>
      <xdr:rowOff>19050</xdr:rowOff>
    </xdr:to>
    <xdr:sp macro="" textlink="" fLocksText="0">
      <xdr:nvSpPr>
        <xdr:cNvPr id="2053" name="AutoShape 5">
          <a:extLst>
            <a:ext uri="{FF2B5EF4-FFF2-40B4-BE49-F238E27FC236}">
              <a16:creationId xmlns:a16="http://schemas.microsoft.com/office/drawing/2014/main" id="{00000000-0008-0000-0100-000005080000}"/>
            </a:ext>
          </a:extLst>
        </xdr:cNvPr>
        <xdr:cNvSpPr>
          <a:spLocks noChangeArrowheads="1"/>
        </xdr:cNvSpPr>
      </xdr:nvSpPr>
      <xdr:spPr bwMode="auto">
        <a:xfrm rot="10800000">
          <a:off x="342900" y="12420600"/>
          <a:ext cx="2108200" cy="711200"/>
        </a:xfrm>
        <a:prstGeom prst="wedgeEllipseCallout">
          <a:avLst>
            <a:gd name="adj1" fmla="val -66764"/>
            <a:gd name="adj2" fmla="val 86505"/>
          </a:avLst>
        </a:prstGeom>
        <a:solidFill>
          <a:srgbClr val="FF99CC"/>
        </a:solidFill>
        <a:ln w="9360">
          <a:solidFill>
            <a:srgbClr val="000000"/>
          </a:solidFill>
          <a:miter lim="800000"/>
          <a:headEnd/>
          <a:tailEnd/>
        </a:ln>
        <a:effectLst/>
      </xdr:spPr>
      <xdr:txBody>
        <a:bodyPr vertOverflow="clip" wrap="square" lIns="27360" tIns="22680" rIns="0" bIns="0" anchor="t"/>
        <a:lstStyle/>
        <a:p>
          <a:pPr algn="l" rtl="0">
            <a:defRPr sz="1000"/>
          </a:pPr>
          <a:r>
            <a:rPr lang="en-IN" sz="1000" b="0" i="0" u="none" strike="noStrike" baseline="0">
              <a:solidFill>
                <a:srgbClr val="000000"/>
              </a:solidFill>
              <a:latin typeface="Arial"/>
              <a:cs typeface="Arial"/>
            </a:rPr>
            <a:t>Format here is correct for equation. Use X as low value and Y for high.</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4438650</xdr:colOff>
      <xdr:row>9</xdr:row>
      <xdr:rowOff>114300</xdr:rowOff>
    </xdr:from>
    <xdr:to>
      <xdr:col>4</xdr:col>
      <xdr:colOff>57150</xdr:colOff>
      <xdr:row>11</xdr:row>
      <xdr:rowOff>38100</xdr:rowOff>
    </xdr:to>
    <xdr:sp macro="" textlink="">
      <xdr:nvSpPr>
        <xdr:cNvPr id="3075" name="AutoShape 1">
          <a:extLst>
            <a:ext uri="{FF2B5EF4-FFF2-40B4-BE49-F238E27FC236}">
              <a16:creationId xmlns:a16="http://schemas.microsoft.com/office/drawing/2014/main" id="{00000000-0008-0000-0200-0000030C0000}"/>
            </a:ext>
          </a:extLst>
        </xdr:cNvPr>
        <xdr:cNvSpPr>
          <a:spLocks/>
        </xdr:cNvSpPr>
      </xdr:nvSpPr>
      <xdr:spPr bwMode="auto">
        <a:xfrm rot="-180000">
          <a:off x="4438650" y="2133600"/>
          <a:ext cx="1936750" cy="241300"/>
        </a:xfrm>
        <a:custGeom>
          <a:avLst/>
          <a:gdLst>
            <a:gd name="T0" fmla="*/ 327093544 w 107"/>
            <a:gd name="T1" fmla="*/ 1308923433 h 43"/>
            <a:gd name="T2" fmla="*/ 2147483646 w 107"/>
            <a:gd name="T3" fmla="*/ 1241797140 h 43"/>
            <a:gd name="T4" fmla="*/ 2147483646 w 107"/>
            <a:gd name="T5" fmla="*/ 0 h 43"/>
            <a:gd name="T6" fmla="*/ 2147483646 w 107"/>
            <a:gd name="T7" fmla="*/ 1308923433 h 43"/>
            <a:gd name="T8" fmla="*/ 0 60000 65536"/>
            <a:gd name="T9" fmla="*/ 0 60000 65536"/>
            <a:gd name="T10" fmla="*/ 0 60000 65536"/>
            <a:gd name="T11" fmla="*/ 0 60000 65536"/>
            <a:gd name="T12" fmla="*/ 0 w 107"/>
            <a:gd name="T13" fmla="*/ 0 h 43"/>
            <a:gd name="T14" fmla="*/ 107 w 107"/>
            <a:gd name="T15" fmla="*/ 43 h 43"/>
          </a:gdLst>
          <a:ahLst/>
          <a:cxnLst>
            <a:cxn ang="T8">
              <a:pos x="T0" y="T1"/>
            </a:cxn>
            <a:cxn ang="T9">
              <a:pos x="T2" y="T3"/>
            </a:cxn>
            <a:cxn ang="T10">
              <a:pos x="T4" y="T5"/>
            </a:cxn>
            <a:cxn ang="T11">
              <a:pos x="T6" y="T7"/>
            </a:cxn>
          </a:cxnLst>
          <a:rect l="T12" t="T13" r="T14" b="T15"/>
          <a:pathLst>
            <a:path w="107" h="43">
              <a:moveTo>
                <a:pt x="1" y="39"/>
              </a:moveTo>
              <a:cubicBezTo>
                <a:pt x="0" y="41"/>
                <a:pt x="0" y="43"/>
                <a:pt x="9" y="37"/>
              </a:cubicBezTo>
              <a:cubicBezTo>
                <a:pt x="18" y="31"/>
                <a:pt x="41" y="0"/>
                <a:pt x="57" y="0"/>
              </a:cubicBezTo>
              <a:cubicBezTo>
                <a:pt x="73" y="0"/>
                <a:pt x="99" y="32"/>
                <a:pt x="107" y="39"/>
              </a:cubicBezTo>
            </a:path>
          </a:pathLst>
        </a:custGeom>
        <a:noFill/>
        <a:ln w="9360">
          <a:solidFill>
            <a:srgbClr val="000000"/>
          </a:solidFill>
          <a:round/>
          <a:headEnd/>
          <a:tailEnd type="triangle" w="med" len="me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2</xdr:col>
      <xdr:colOff>260350</xdr:colOff>
      <xdr:row>3</xdr:row>
      <xdr:rowOff>63500</xdr:rowOff>
    </xdr:from>
    <xdr:to>
      <xdr:col>9</xdr:col>
      <xdr:colOff>533400</xdr:colOff>
      <xdr:row>7</xdr:row>
      <xdr:rowOff>139700</xdr:rowOff>
    </xdr:to>
    <xdr:sp macro="" textlink="" fLocksText="0">
      <xdr:nvSpPr>
        <xdr:cNvPr id="3074" name="Text Box 2">
          <a:extLst>
            <a:ext uri="{FF2B5EF4-FFF2-40B4-BE49-F238E27FC236}">
              <a16:creationId xmlns:a16="http://schemas.microsoft.com/office/drawing/2014/main" id="{00000000-0008-0000-0200-0000020C0000}"/>
            </a:ext>
          </a:extLst>
        </xdr:cNvPr>
        <xdr:cNvSpPr txBox="1">
          <a:spLocks noChangeArrowheads="1"/>
        </xdr:cNvSpPr>
      </xdr:nvSpPr>
      <xdr:spPr bwMode="auto">
        <a:xfrm>
          <a:off x="5359400" y="965200"/>
          <a:ext cx="4400550" cy="876300"/>
        </a:xfrm>
        <a:prstGeom prst="rect">
          <a:avLst/>
        </a:prstGeom>
        <a:solidFill>
          <a:srgbClr val="99CCFF"/>
        </a:solidFill>
        <a:ln w="9360">
          <a:solidFill>
            <a:srgbClr val="000000"/>
          </a:solidFill>
          <a:miter lim="800000"/>
          <a:headEnd/>
          <a:tailEnd/>
        </a:ln>
        <a:effectLst/>
      </xdr:spPr>
      <xdr:txBody>
        <a:bodyPr vertOverflow="clip" wrap="square" lIns="36360" tIns="22680" rIns="0" bIns="0" anchor="t"/>
        <a:lstStyle/>
        <a:p>
          <a:pPr algn="l" rtl="0">
            <a:defRPr sz="1000"/>
          </a:pPr>
          <a:r>
            <a:rPr lang="en-IN" sz="1200" b="0" i="0" u="none" strike="noStrike" baseline="0">
              <a:solidFill>
                <a:srgbClr val="000000"/>
              </a:solidFill>
              <a:latin typeface="Arial"/>
              <a:cs typeface="Arial"/>
            </a:rPr>
            <a:t>The exam question are worded identical to the wording in the responses this program gives for gage repeatability and reproducibility, gage bias, and gage linearity, with the exception; if the question asks for "the computed value of the appropriate statistic" that is the "t-statistic".</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50800</xdr:colOff>
      <xdr:row>33</xdr:row>
      <xdr:rowOff>139700</xdr:rowOff>
    </xdr:from>
    <xdr:to>
      <xdr:col>1</xdr:col>
      <xdr:colOff>50800</xdr:colOff>
      <xdr:row>48</xdr:row>
      <xdr:rowOff>19050</xdr:rowOff>
    </xdr:to>
    <xdr:sp macro="" textlink="">
      <xdr:nvSpPr>
        <xdr:cNvPr id="4138" name="Line 1">
          <a:extLst>
            <a:ext uri="{FF2B5EF4-FFF2-40B4-BE49-F238E27FC236}">
              <a16:creationId xmlns:a16="http://schemas.microsoft.com/office/drawing/2014/main" id="{00000000-0008-0000-0300-00002A100000}"/>
            </a:ext>
          </a:extLst>
        </xdr:cNvPr>
        <xdr:cNvSpPr>
          <a:spLocks noChangeShapeType="1"/>
        </xdr:cNvSpPr>
      </xdr:nvSpPr>
      <xdr:spPr bwMode="auto">
        <a:xfrm>
          <a:off x="660400" y="5816600"/>
          <a:ext cx="0" cy="2298700"/>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0</xdr:col>
      <xdr:colOff>31750</xdr:colOff>
      <xdr:row>46</xdr:row>
      <xdr:rowOff>139700</xdr:rowOff>
    </xdr:from>
    <xdr:to>
      <xdr:col>6</xdr:col>
      <xdr:colOff>342900</xdr:colOff>
      <xdr:row>46</xdr:row>
      <xdr:rowOff>139700</xdr:rowOff>
    </xdr:to>
    <xdr:sp macro="" textlink="">
      <xdr:nvSpPr>
        <xdr:cNvPr id="4139" name="Line 2">
          <a:extLst>
            <a:ext uri="{FF2B5EF4-FFF2-40B4-BE49-F238E27FC236}">
              <a16:creationId xmlns:a16="http://schemas.microsoft.com/office/drawing/2014/main" id="{00000000-0008-0000-0300-00002B100000}"/>
            </a:ext>
          </a:extLst>
        </xdr:cNvPr>
        <xdr:cNvSpPr>
          <a:spLocks noChangeShapeType="1"/>
        </xdr:cNvSpPr>
      </xdr:nvSpPr>
      <xdr:spPr bwMode="auto">
        <a:xfrm>
          <a:off x="31750" y="7918450"/>
          <a:ext cx="3968750" cy="0"/>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0</xdr:col>
      <xdr:colOff>247650</xdr:colOff>
      <xdr:row>32</xdr:row>
      <xdr:rowOff>101600</xdr:rowOff>
    </xdr:from>
    <xdr:to>
      <xdr:col>6</xdr:col>
      <xdr:colOff>139700</xdr:colOff>
      <xdr:row>47</xdr:row>
      <xdr:rowOff>63500</xdr:rowOff>
    </xdr:to>
    <xdr:sp macro="" textlink="">
      <xdr:nvSpPr>
        <xdr:cNvPr id="4140" name="AutoShape 3">
          <a:extLst>
            <a:ext uri="{FF2B5EF4-FFF2-40B4-BE49-F238E27FC236}">
              <a16:creationId xmlns:a16="http://schemas.microsoft.com/office/drawing/2014/main" id="{00000000-0008-0000-0300-00002C100000}"/>
            </a:ext>
          </a:extLst>
        </xdr:cNvPr>
        <xdr:cNvSpPr>
          <a:spLocks noChangeArrowheads="1"/>
        </xdr:cNvSpPr>
      </xdr:nvSpPr>
      <xdr:spPr bwMode="auto">
        <a:xfrm>
          <a:off x="247650" y="5549900"/>
          <a:ext cx="3549650" cy="2451100"/>
        </a:xfrm>
        <a:custGeom>
          <a:avLst/>
          <a:gdLst>
            <a:gd name="T0" fmla="*/ 0 w 309"/>
            <a:gd name="T1" fmla="*/ 2147483646 h 251"/>
            <a:gd name="T2" fmla="*/ 2147483646 w 309"/>
            <a:gd name="T3" fmla="*/ 2147483646 h 251"/>
            <a:gd name="T4" fmla="*/ 2147483646 w 309"/>
            <a:gd name="T5" fmla="*/ 0 h 251"/>
            <a:gd name="T6" fmla="*/ 2147483646 w 309"/>
            <a:gd name="T7" fmla="*/ 2147483646 h 251"/>
            <a:gd name="T8" fmla="*/ 2147483646 w 309"/>
            <a:gd name="T9" fmla="*/ 2147483646 h 251"/>
            <a:gd name="T10" fmla="*/ 0 60000 65536"/>
            <a:gd name="T11" fmla="*/ 0 60000 65536"/>
            <a:gd name="T12" fmla="*/ 0 60000 65536"/>
            <a:gd name="T13" fmla="*/ 0 60000 65536"/>
            <a:gd name="T14" fmla="*/ 0 60000 65536"/>
            <a:gd name="T15" fmla="*/ 0 w 309"/>
            <a:gd name="T16" fmla="*/ 0 h 251"/>
            <a:gd name="T17" fmla="*/ 309 w 309"/>
            <a:gd name="T18" fmla="*/ 251 h 251"/>
          </a:gdLst>
          <a:ahLst/>
          <a:cxnLst>
            <a:cxn ang="T10">
              <a:pos x="T0" y="T1"/>
            </a:cxn>
            <a:cxn ang="T11">
              <a:pos x="T2" y="T3"/>
            </a:cxn>
            <a:cxn ang="T12">
              <a:pos x="T4" y="T5"/>
            </a:cxn>
            <a:cxn ang="T13">
              <a:pos x="T6" y="T7"/>
            </a:cxn>
            <a:cxn ang="T14">
              <a:pos x="T8" y="T9"/>
            </a:cxn>
          </a:cxnLst>
          <a:rect l="T15" t="T16" r="T17" b="T18"/>
          <a:pathLst>
            <a:path w="309" h="251">
              <a:moveTo>
                <a:pt x="0" y="236"/>
              </a:moveTo>
              <a:cubicBezTo>
                <a:pt x="28" y="243"/>
                <a:pt x="57" y="251"/>
                <a:pt x="84" y="212"/>
              </a:cubicBezTo>
              <a:cubicBezTo>
                <a:pt x="111" y="173"/>
                <a:pt x="137" y="0"/>
                <a:pt x="160" y="0"/>
              </a:cubicBezTo>
              <a:cubicBezTo>
                <a:pt x="183" y="0"/>
                <a:pt x="200" y="173"/>
                <a:pt x="225" y="212"/>
              </a:cubicBezTo>
              <a:cubicBezTo>
                <a:pt x="250" y="251"/>
                <a:pt x="296" y="233"/>
                <a:pt x="309" y="236"/>
              </a:cubicBezTo>
            </a:path>
          </a:pathLst>
        </a:custGeom>
        <a:noFill/>
        <a:ln w="9360">
          <a:solidFill>
            <a:srgbClr val="000000"/>
          </a:solidFill>
          <a:round/>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4</xdr:col>
      <xdr:colOff>120650</xdr:colOff>
      <xdr:row>37</xdr:row>
      <xdr:rowOff>127000</xdr:rowOff>
    </xdr:from>
    <xdr:to>
      <xdr:col>4</xdr:col>
      <xdr:colOff>120650</xdr:colOff>
      <xdr:row>48</xdr:row>
      <xdr:rowOff>63500</xdr:rowOff>
    </xdr:to>
    <xdr:sp macro="" textlink="">
      <xdr:nvSpPr>
        <xdr:cNvPr id="4141" name="Line 4">
          <a:extLst>
            <a:ext uri="{FF2B5EF4-FFF2-40B4-BE49-F238E27FC236}">
              <a16:creationId xmlns:a16="http://schemas.microsoft.com/office/drawing/2014/main" id="{00000000-0008-0000-0300-00002D100000}"/>
            </a:ext>
          </a:extLst>
        </xdr:cNvPr>
        <xdr:cNvSpPr>
          <a:spLocks noChangeShapeType="1"/>
        </xdr:cNvSpPr>
      </xdr:nvSpPr>
      <xdr:spPr bwMode="auto">
        <a:xfrm>
          <a:off x="2559050" y="6451600"/>
          <a:ext cx="0" cy="1708150"/>
        </a:xfrm>
        <a:prstGeom prst="line">
          <a:avLst/>
        </a:prstGeom>
        <a:noFill/>
        <a:ln w="9360">
          <a:solidFill>
            <a:srgbClr val="000000"/>
          </a:solidFill>
          <a:prstDash val="dash"/>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4</xdr:col>
      <xdr:colOff>488950</xdr:colOff>
      <xdr:row>37</xdr:row>
      <xdr:rowOff>127000</xdr:rowOff>
    </xdr:from>
    <xdr:to>
      <xdr:col>4</xdr:col>
      <xdr:colOff>488950</xdr:colOff>
      <xdr:row>48</xdr:row>
      <xdr:rowOff>63500</xdr:rowOff>
    </xdr:to>
    <xdr:sp macro="" textlink="">
      <xdr:nvSpPr>
        <xdr:cNvPr id="4142" name="Line 5">
          <a:extLst>
            <a:ext uri="{FF2B5EF4-FFF2-40B4-BE49-F238E27FC236}">
              <a16:creationId xmlns:a16="http://schemas.microsoft.com/office/drawing/2014/main" id="{00000000-0008-0000-0300-00002E100000}"/>
            </a:ext>
          </a:extLst>
        </xdr:cNvPr>
        <xdr:cNvSpPr>
          <a:spLocks noChangeShapeType="1"/>
        </xdr:cNvSpPr>
      </xdr:nvSpPr>
      <xdr:spPr bwMode="auto">
        <a:xfrm>
          <a:off x="2927350" y="6451600"/>
          <a:ext cx="0" cy="1708150"/>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4</xdr:col>
      <xdr:colOff>260350</xdr:colOff>
      <xdr:row>33</xdr:row>
      <xdr:rowOff>107950</xdr:rowOff>
    </xdr:from>
    <xdr:to>
      <xdr:col>6</xdr:col>
      <xdr:colOff>63500</xdr:colOff>
      <xdr:row>36</xdr:row>
      <xdr:rowOff>38100</xdr:rowOff>
    </xdr:to>
    <xdr:sp macro="" textlink="" fLocksText="0">
      <xdr:nvSpPr>
        <xdr:cNvPr id="4102" name="AutoShape 6">
          <a:extLst>
            <a:ext uri="{FF2B5EF4-FFF2-40B4-BE49-F238E27FC236}">
              <a16:creationId xmlns:a16="http://schemas.microsoft.com/office/drawing/2014/main" id="{00000000-0008-0000-0300-000006100000}"/>
            </a:ext>
          </a:extLst>
        </xdr:cNvPr>
        <xdr:cNvSpPr>
          <a:spLocks noChangeArrowheads="1"/>
        </xdr:cNvSpPr>
      </xdr:nvSpPr>
      <xdr:spPr bwMode="auto">
        <a:xfrm>
          <a:off x="2698750" y="5784850"/>
          <a:ext cx="1022350" cy="419100"/>
        </a:xfrm>
        <a:prstGeom prst="wedgeEllipseCallout">
          <a:avLst>
            <a:gd name="adj1" fmla="val -60185"/>
            <a:gd name="adj2" fmla="val 110463"/>
          </a:avLst>
        </a:prstGeom>
        <a:solidFill>
          <a:srgbClr val="FFFFFF"/>
        </a:solidFill>
        <a:ln w="9360">
          <a:solidFill>
            <a:srgbClr val="000000"/>
          </a:solidFill>
          <a:miter lim="800000"/>
          <a:headEnd/>
          <a:tailEnd/>
        </a:ln>
        <a:effectLst/>
      </xdr:spPr>
      <xdr:txBody>
        <a:bodyPr vertOverflow="clip" wrap="square" lIns="27360" tIns="22680" rIns="27360" bIns="0" anchor="t"/>
        <a:lstStyle/>
        <a:p>
          <a:pPr algn="ctr" rtl="0">
            <a:defRPr sz="1000"/>
          </a:pPr>
          <a:r>
            <a:rPr lang="en-IN" sz="1000" b="0" i="0" u="none" strike="noStrike" baseline="0">
              <a:solidFill>
                <a:srgbClr val="000000"/>
              </a:solidFill>
              <a:latin typeface="Arial"/>
              <a:cs typeface="Arial"/>
            </a:rPr>
            <a:t>t computed</a:t>
          </a:r>
        </a:p>
      </xdr:txBody>
    </xdr:sp>
    <xdr:clientData/>
  </xdr:twoCellAnchor>
  <xdr:twoCellAnchor>
    <xdr:from>
      <xdr:col>5</xdr:col>
      <xdr:colOff>171450</xdr:colOff>
      <xdr:row>48</xdr:row>
      <xdr:rowOff>82550</xdr:rowOff>
    </xdr:from>
    <xdr:to>
      <xdr:col>6</xdr:col>
      <xdr:colOff>368300</xdr:colOff>
      <xdr:row>51</xdr:row>
      <xdr:rowOff>6350</xdr:rowOff>
    </xdr:to>
    <xdr:sp macro="" textlink="" fLocksText="0">
      <xdr:nvSpPr>
        <xdr:cNvPr id="4103" name="AutoShape 7">
          <a:extLst>
            <a:ext uri="{FF2B5EF4-FFF2-40B4-BE49-F238E27FC236}">
              <a16:creationId xmlns:a16="http://schemas.microsoft.com/office/drawing/2014/main" id="{00000000-0008-0000-0300-000007100000}"/>
            </a:ext>
          </a:extLst>
        </xdr:cNvPr>
        <xdr:cNvSpPr>
          <a:spLocks noChangeArrowheads="1"/>
        </xdr:cNvSpPr>
      </xdr:nvSpPr>
      <xdr:spPr bwMode="auto">
        <a:xfrm>
          <a:off x="3219450" y="8178800"/>
          <a:ext cx="806450" cy="406400"/>
        </a:xfrm>
        <a:prstGeom prst="wedgeEllipseCallout">
          <a:avLst>
            <a:gd name="adj1" fmla="val -84523"/>
            <a:gd name="adj2" fmla="val -84884"/>
          </a:avLst>
        </a:prstGeom>
        <a:solidFill>
          <a:srgbClr val="FFFFFF"/>
        </a:solidFill>
        <a:ln w="9360">
          <a:solidFill>
            <a:srgbClr val="000000"/>
          </a:solidFill>
          <a:miter lim="800000"/>
          <a:headEnd/>
          <a:tailEnd/>
        </a:ln>
        <a:effectLst/>
      </xdr:spPr>
      <xdr:txBody>
        <a:bodyPr vertOverflow="clip" wrap="square" lIns="27360" tIns="22680" rIns="27360" bIns="0" anchor="t"/>
        <a:lstStyle/>
        <a:p>
          <a:pPr algn="ctr" rtl="0">
            <a:defRPr sz="1000"/>
          </a:pPr>
          <a:r>
            <a:rPr lang="en-IN" sz="1000" b="0" i="0" u="none" strike="noStrike" baseline="0">
              <a:solidFill>
                <a:srgbClr val="000000"/>
              </a:solidFill>
              <a:latin typeface="Arial"/>
              <a:cs typeface="Arial"/>
            </a:rPr>
            <a:t>t critical</a:t>
          </a:r>
        </a:p>
      </xdr:txBody>
    </xdr:sp>
    <xdr:clientData/>
  </xdr:twoCellAnchor>
  <xdr:twoCellAnchor>
    <xdr:from>
      <xdr:col>4</xdr:col>
      <xdr:colOff>120650</xdr:colOff>
      <xdr:row>43</xdr:row>
      <xdr:rowOff>101600</xdr:rowOff>
    </xdr:from>
    <xdr:to>
      <xdr:col>4</xdr:col>
      <xdr:colOff>190500</xdr:colOff>
      <xdr:row>44</xdr:row>
      <xdr:rowOff>57150</xdr:rowOff>
    </xdr:to>
    <xdr:sp macro="" textlink="">
      <xdr:nvSpPr>
        <xdr:cNvPr id="4145" name="Line 8">
          <a:extLst>
            <a:ext uri="{FF2B5EF4-FFF2-40B4-BE49-F238E27FC236}">
              <a16:creationId xmlns:a16="http://schemas.microsoft.com/office/drawing/2014/main" id="{00000000-0008-0000-0300-000031100000}"/>
            </a:ext>
          </a:extLst>
        </xdr:cNvPr>
        <xdr:cNvSpPr>
          <a:spLocks noChangeShapeType="1"/>
        </xdr:cNvSpPr>
      </xdr:nvSpPr>
      <xdr:spPr bwMode="auto">
        <a:xfrm flipH="1">
          <a:off x="2559050" y="7397750"/>
          <a:ext cx="69850" cy="114300"/>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4</xdr:col>
      <xdr:colOff>127000</xdr:colOff>
      <xdr:row>44</xdr:row>
      <xdr:rowOff>57150</xdr:rowOff>
    </xdr:from>
    <xdr:to>
      <xdr:col>4</xdr:col>
      <xdr:colOff>228600</xdr:colOff>
      <xdr:row>45</xdr:row>
      <xdr:rowOff>19050</xdr:rowOff>
    </xdr:to>
    <xdr:sp macro="" textlink="">
      <xdr:nvSpPr>
        <xdr:cNvPr id="4146" name="Line 9">
          <a:extLst>
            <a:ext uri="{FF2B5EF4-FFF2-40B4-BE49-F238E27FC236}">
              <a16:creationId xmlns:a16="http://schemas.microsoft.com/office/drawing/2014/main" id="{00000000-0008-0000-0300-000032100000}"/>
            </a:ext>
          </a:extLst>
        </xdr:cNvPr>
        <xdr:cNvSpPr>
          <a:spLocks noChangeShapeType="1"/>
        </xdr:cNvSpPr>
      </xdr:nvSpPr>
      <xdr:spPr bwMode="auto">
        <a:xfrm flipH="1">
          <a:off x="2565400" y="7512050"/>
          <a:ext cx="101600" cy="120650"/>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4</xdr:col>
      <xdr:colOff>127000</xdr:colOff>
      <xdr:row>44</xdr:row>
      <xdr:rowOff>120650</xdr:rowOff>
    </xdr:from>
    <xdr:to>
      <xdr:col>4</xdr:col>
      <xdr:colOff>260350</xdr:colOff>
      <xdr:row>45</xdr:row>
      <xdr:rowOff>107950</xdr:rowOff>
    </xdr:to>
    <xdr:sp macro="" textlink="">
      <xdr:nvSpPr>
        <xdr:cNvPr id="4147" name="Line 10">
          <a:extLst>
            <a:ext uri="{FF2B5EF4-FFF2-40B4-BE49-F238E27FC236}">
              <a16:creationId xmlns:a16="http://schemas.microsoft.com/office/drawing/2014/main" id="{00000000-0008-0000-0300-000033100000}"/>
            </a:ext>
          </a:extLst>
        </xdr:cNvPr>
        <xdr:cNvSpPr>
          <a:spLocks noChangeShapeType="1"/>
        </xdr:cNvSpPr>
      </xdr:nvSpPr>
      <xdr:spPr bwMode="auto">
        <a:xfrm flipH="1">
          <a:off x="2565400" y="7575550"/>
          <a:ext cx="133350" cy="146050"/>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4</xdr:col>
      <xdr:colOff>139700</xdr:colOff>
      <xdr:row>44</xdr:row>
      <xdr:rowOff>152400</xdr:rowOff>
    </xdr:from>
    <xdr:to>
      <xdr:col>4</xdr:col>
      <xdr:colOff>298450</xdr:colOff>
      <xdr:row>46</xdr:row>
      <xdr:rowOff>38100</xdr:rowOff>
    </xdr:to>
    <xdr:sp macro="" textlink="">
      <xdr:nvSpPr>
        <xdr:cNvPr id="4148" name="Line 11">
          <a:extLst>
            <a:ext uri="{FF2B5EF4-FFF2-40B4-BE49-F238E27FC236}">
              <a16:creationId xmlns:a16="http://schemas.microsoft.com/office/drawing/2014/main" id="{00000000-0008-0000-0300-000034100000}"/>
            </a:ext>
          </a:extLst>
        </xdr:cNvPr>
        <xdr:cNvSpPr>
          <a:spLocks noChangeShapeType="1"/>
        </xdr:cNvSpPr>
      </xdr:nvSpPr>
      <xdr:spPr bwMode="auto">
        <a:xfrm flipH="1">
          <a:off x="2578100" y="7607300"/>
          <a:ext cx="158750" cy="209550"/>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4</xdr:col>
      <xdr:colOff>139700</xdr:colOff>
      <xdr:row>45</xdr:row>
      <xdr:rowOff>50800</xdr:rowOff>
    </xdr:from>
    <xdr:to>
      <xdr:col>4</xdr:col>
      <xdr:colOff>342900</xdr:colOff>
      <xdr:row>46</xdr:row>
      <xdr:rowOff>133350</xdr:rowOff>
    </xdr:to>
    <xdr:sp macro="" textlink="">
      <xdr:nvSpPr>
        <xdr:cNvPr id="4149" name="Line 12">
          <a:extLst>
            <a:ext uri="{FF2B5EF4-FFF2-40B4-BE49-F238E27FC236}">
              <a16:creationId xmlns:a16="http://schemas.microsoft.com/office/drawing/2014/main" id="{00000000-0008-0000-0300-000035100000}"/>
            </a:ext>
          </a:extLst>
        </xdr:cNvPr>
        <xdr:cNvSpPr>
          <a:spLocks noChangeShapeType="1"/>
        </xdr:cNvSpPr>
      </xdr:nvSpPr>
      <xdr:spPr bwMode="auto">
        <a:xfrm flipH="1">
          <a:off x="2578100" y="7664450"/>
          <a:ext cx="203200" cy="247650"/>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4</xdr:col>
      <xdr:colOff>349250</xdr:colOff>
      <xdr:row>46</xdr:row>
      <xdr:rowOff>0</xdr:rowOff>
    </xdr:from>
    <xdr:to>
      <xdr:col>4</xdr:col>
      <xdr:colOff>450850</xdr:colOff>
      <xdr:row>46</xdr:row>
      <xdr:rowOff>120650</xdr:rowOff>
    </xdr:to>
    <xdr:sp macro="" textlink="">
      <xdr:nvSpPr>
        <xdr:cNvPr id="4150" name="Line 13">
          <a:extLst>
            <a:ext uri="{FF2B5EF4-FFF2-40B4-BE49-F238E27FC236}">
              <a16:creationId xmlns:a16="http://schemas.microsoft.com/office/drawing/2014/main" id="{00000000-0008-0000-0300-000036100000}"/>
            </a:ext>
          </a:extLst>
        </xdr:cNvPr>
        <xdr:cNvSpPr>
          <a:spLocks noChangeShapeType="1"/>
        </xdr:cNvSpPr>
      </xdr:nvSpPr>
      <xdr:spPr bwMode="auto">
        <a:xfrm flipH="1">
          <a:off x="2787650" y="7778750"/>
          <a:ext cx="101600" cy="120650"/>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4</xdr:col>
      <xdr:colOff>292100</xdr:colOff>
      <xdr:row>45</xdr:row>
      <xdr:rowOff>114300</xdr:rowOff>
    </xdr:from>
    <xdr:to>
      <xdr:col>4</xdr:col>
      <xdr:colOff>387350</xdr:colOff>
      <xdr:row>46</xdr:row>
      <xdr:rowOff>82550</xdr:rowOff>
    </xdr:to>
    <xdr:sp macro="" textlink="">
      <xdr:nvSpPr>
        <xdr:cNvPr id="4151" name="Line 14">
          <a:extLst>
            <a:ext uri="{FF2B5EF4-FFF2-40B4-BE49-F238E27FC236}">
              <a16:creationId xmlns:a16="http://schemas.microsoft.com/office/drawing/2014/main" id="{00000000-0008-0000-0300-000037100000}"/>
            </a:ext>
          </a:extLst>
        </xdr:cNvPr>
        <xdr:cNvSpPr>
          <a:spLocks noChangeShapeType="1"/>
        </xdr:cNvSpPr>
      </xdr:nvSpPr>
      <xdr:spPr bwMode="auto">
        <a:xfrm flipH="1">
          <a:off x="2730500" y="7727950"/>
          <a:ext cx="95250" cy="133350"/>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4</xdr:col>
      <xdr:colOff>203200</xdr:colOff>
      <xdr:row>45</xdr:row>
      <xdr:rowOff>88900</xdr:rowOff>
    </xdr:from>
    <xdr:to>
      <xdr:col>4</xdr:col>
      <xdr:colOff>349250</xdr:colOff>
      <xdr:row>46</xdr:row>
      <xdr:rowOff>120650</xdr:rowOff>
    </xdr:to>
    <xdr:sp macro="" textlink="">
      <xdr:nvSpPr>
        <xdr:cNvPr id="4152" name="Line 15">
          <a:extLst>
            <a:ext uri="{FF2B5EF4-FFF2-40B4-BE49-F238E27FC236}">
              <a16:creationId xmlns:a16="http://schemas.microsoft.com/office/drawing/2014/main" id="{00000000-0008-0000-0300-000038100000}"/>
            </a:ext>
          </a:extLst>
        </xdr:cNvPr>
        <xdr:cNvSpPr>
          <a:spLocks noChangeShapeType="1"/>
        </xdr:cNvSpPr>
      </xdr:nvSpPr>
      <xdr:spPr bwMode="auto">
        <a:xfrm flipH="1">
          <a:off x="2641600" y="7702550"/>
          <a:ext cx="146050" cy="196850"/>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4</xdr:col>
      <xdr:colOff>438150</xdr:colOff>
      <xdr:row>46</xdr:row>
      <xdr:rowOff>19050</xdr:rowOff>
    </xdr:from>
    <xdr:to>
      <xdr:col>4</xdr:col>
      <xdr:colOff>508000</xdr:colOff>
      <xdr:row>46</xdr:row>
      <xdr:rowOff>139700</xdr:rowOff>
    </xdr:to>
    <xdr:sp macro="" textlink="">
      <xdr:nvSpPr>
        <xdr:cNvPr id="4153" name="Line 16">
          <a:extLst>
            <a:ext uri="{FF2B5EF4-FFF2-40B4-BE49-F238E27FC236}">
              <a16:creationId xmlns:a16="http://schemas.microsoft.com/office/drawing/2014/main" id="{00000000-0008-0000-0300-000039100000}"/>
            </a:ext>
          </a:extLst>
        </xdr:cNvPr>
        <xdr:cNvSpPr>
          <a:spLocks noChangeShapeType="1"/>
        </xdr:cNvSpPr>
      </xdr:nvSpPr>
      <xdr:spPr bwMode="auto">
        <a:xfrm flipH="1">
          <a:off x="2876550" y="7797800"/>
          <a:ext cx="69850" cy="120650"/>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4</xdr:col>
      <xdr:colOff>501650</xdr:colOff>
      <xdr:row>46</xdr:row>
      <xdr:rowOff>63500</xdr:rowOff>
    </xdr:from>
    <xdr:to>
      <xdr:col>4</xdr:col>
      <xdr:colOff>552450</xdr:colOff>
      <xdr:row>46</xdr:row>
      <xdr:rowOff>127000</xdr:rowOff>
    </xdr:to>
    <xdr:sp macro="" textlink="">
      <xdr:nvSpPr>
        <xdr:cNvPr id="4154" name="Line 17">
          <a:extLst>
            <a:ext uri="{FF2B5EF4-FFF2-40B4-BE49-F238E27FC236}">
              <a16:creationId xmlns:a16="http://schemas.microsoft.com/office/drawing/2014/main" id="{00000000-0008-0000-0300-00003A100000}"/>
            </a:ext>
          </a:extLst>
        </xdr:cNvPr>
        <xdr:cNvSpPr>
          <a:spLocks noChangeShapeType="1"/>
        </xdr:cNvSpPr>
      </xdr:nvSpPr>
      <xdr:spPr bwMode="auto">
        <a:xfrm flipH="1">
          <a:off x="2940050" y="7842250"/>
          <a:ext cx="50800" cy="63500"/>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4</xdr:col>
      <xdr:colOff>571500</xdr:colOff>
      <xdr:row>46</xdr:row>
      <xdr:rowOff>76200</xdr:rowOff>
    </xdr:from>
    <xdr:to>
      <xdr:col>4</xdr:col>
      <xdr:colOff>609600</xdr:colOff>
      <xdr:row>46</xdr:row>
      <xdr:rowOff>152400</xdr:rowOff>
    </xdr:to>
    <xdr:sp macro="" textlink="">
      <xdr:nvSpPr>
        <xdr:cNvPr id="4155" name="Line 18">
          <a:extLst>
            <a:ext uri="{FF2B5EF4-FFF2-40B4-BE49-F238E27FC236}">
              <a16:creationId xmlns:a16="http://schemas.microsoft.com/office/drawing/2014/main" id="{00000000-0008-0000-0300-00003B100000}"/>
            </a:ext>
          </a:extLst>
        </xdr:cNvPr>
        <xdr:cNvSpPr>
          <a:spLocks noChangeShapeType="1"/>
        </xdr:cNvSpPr>
      </xdr:nvSpPr>
      <xdr:spPr bwMode="auto">
        <a:xfrm flipH="1">
          <a:off x="3009900" y="7854950"/>
          <a:ext cx="38100" cy="76200"/>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5</xdr:col>
      <xdr:colOff>12700</xdr:colOff>
      <xdr:row>46</xdr:row>
      <xdr:rowOff>76200</xdr:rowOff>
    </xdr:from>
    <xdr:to>
      <xdr:col>5</xdr:col>
      <xdr:colOff>69850</xdr:colOff>
      <xdr:row>47</xdr:row>
      <xdr:rowOff>0</xdr:rowOff>
    </xdr:to>
    <xdr:sp macro="" textlink="">
      <xdr:nvSpPr>
        <xdr:cNvPr id="4156" name="Line 19">
          <a:extLst>
            <a:ext uri="{FF2B5EF4-FFF2-40B4-BE49-F238E27FC236}">
              <a16:creationId xmlns:a16="http://schemas.microsoft.com/office/drawing/2014/main" id="{00000000-0008-0000-0300-00003C100000}"/>
            </a:ext>
          </a:extLst>
        </xdr:cNvPr>
        <xdr:cNvSpPr>
          <a:spLocks noChangeShapeType="1"/>
        </xdr:cNvSpPr>
      </xdr:nvSpPr>
      <xdr:spPr bwMode="auto">
        <a:xfrm flipH="1">
          <a:off x="3060700" y="7854950"/>
          <a:ext cx="57150" cy="82550"/>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5</xdr:col>
      <xdr:colOff>12700</xdr:colOff>
      <xdr:row>46</xdr:row>
      <xdr:rowOff>114300</xdr:rowOff>
    </xdr:from>
    <xdr:to>
      <xdr:col>5</xdr:col>
      <xdr:colOff>31750</xdr:colOff>
      <xdr:row>46</xdr:row>
      <xdr:rowOff>158750</xdr:rowOff>
    </xdr:to>
    <xdr:sp macro="" textlink="">
      <xdr:nvSpPr>
        <xdr:cNvPr id="4157" name="Line 20">
          <a:extLst>
            <a:ext uri="{FF2B5EF4-FFF2-40B4-BE49-F238E27FC236}">
              <a16:creationId xmlns:a16="http://schemas.microsoft.com/office/drawing/2014/main" id="{00000000-0008-0000-0300-00003D100000}"/>
            </a:ext>
          </a:extLst>
        </xdr:cNvPr>
        <xdr:cNvSpPr>
          <a:spLocks noChangeShapeType="1"/>
        </xdr:cNvSpPr>
      </xdr:nvSpPr>
      <xdr:spPr bwMode="auto">
        <a:xfrm flipH="1">
          <a:off x="3060700" y="7893050"/>
          <a:ext cx="19050" cy="44450"/>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5</xdr:col>
      <xdr:colOff>88900</xdr:colOff>
      <xdr:row>46</xdr:row>
      <xdr:rowOff>82550</xdr:rowOff>
    </xdr:from>
    <xdr:to>
      <xdr:col>5</xdr:col>
      <xdr:colOff>139700</xdr:colOff>
      <xdr:row>47</xdr:row>
      <xdr:rowOff>6350</xdr:rowOff>
    </xdr:to>
    <xdr:sp macro="" textlink="">
      <xdr:nvSpPr>
        <xdr:cNvPr id="4158" name="Line 21">
          <a:extLst>
            <a:ext uri="{FF2B5EF4-FFF2-40B4-BE49-F238E27FC236}">
              <a16:creationId xmlns:a16="http://schemas.microsoft.com/office/drawing/2014/main" id="{00000000-0008-0000-0300-00003E100000}"/>
            </a:ext>
          </a:extLst>
        </xdr:cNvPr>
        <xdr:cNvSpPr>
          <a:spLocks noChangeShapeType="1"/>
        </xdr:cNvSpPr>
      </xdr:nvSpPr>
      <xdr:spPr bwMode="auto">
        <a:xfrm flipH="1">
          <a:off x="3136900" y="7861300"/>
          <a:ext cx="50800" cy="82550"/>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7</xdr:col>
      <xdr:colOff>520700</xdr:colOff>
      <xdr:row>76</xdr:row>
      <xdr:rowOff>38100</xdr:rowOff>
    </xdr:from>
    <xdr:to>
      <xdr:col>8</xdr:col>
      <xdr:colOff>82550</xdr:colOff>
      <xdr:row>79</xdr:row>
      <xdr:rowOff>19050</xdr:rowOff>
    </xdr:to>
    <xdr:sp macro="" textlink="">
      <xdr:nvSpPr>
        <xdr:cNvPr id="4159" name="AutoShape 22">
          <a:extLst>
            <a:ext uri="{FF2B5EF4-FFF2-40B4-BE49-F238E27FC236}">
              <a16:creationId xmlns:a16="http://schemas.microsoft.com/office/drawing/2014/main" id="{00000000-0008-0000-0300-00003F100000}"/>
            </a:ext>
          </a:extLst>
        </xdr:cNvPr>
        <xdr:cNvSpPr>
          <a:spLocks/>
        </xdr:cNvSpPr>
      </xdr:nvSpPr>
      <xdr:spPr bwMode="auto">
        <a:xfrm>
          <a:off x="4787900" y="12693650"/>
          <a:ext cx="609600" cy="463550"/>
        </a:xfrm>
        <a:custGeom>
          <a:avLst/>
          <a:gdLst>
            <a:gd name="T0" fmla="*/ 0 w 57"/>
            <a:gd name="T1" fmla="*/ 2147483646 h 38"/>
            <a:gd name="T2" fmla="*/ 2147483646 w 57"/>
            <a:gd name="T3" fmla="*/ 2147483646 h 38"/>
            <a:gd name="T4" fmla="*/ 2147483646 w 57"/>
            <a:gd name="T5" fmla="*/ 0 h 38"/>
            <a:gd name="T6" fmla="*/ 0 60000 65536"/>
            <a:gd name="T7" fmla="*/ 0 60000 65536"/>
            <a:gd name="T8" fmla="*/ 0 60000 65536"/>
            <a:gd name="T9" fmla="*/ 0 w 57"/>
            <a:gd name="T10" fmla="*/ 0 h 38"/>
            <a:gd name="T11" fmla="*/ 57 w 57"/>
            <a:gd name="T12" fmla="*/ 38 h 38"/>
          </a:gdLst>
          <a:ahLst/>
          <a:cxnLst>
            <a:cxn ang="T6">
              <a:pos x="T0" y="T1"/>
            </a:cxn>
            <a:cxn ang="T7">
              <a:pos x="T2" y="T3"/>
            </a:cxn>
            <a:cxn ang="T8">
              <a:pos x="T4" y="T5"/>
            </a:cxn>
          </a:cxnLst>
          <a:rect l="T9" t="T10" r="T11" b="T12"/>
          <a:pathLst>
            <a:path w="57" h="38">
              <a:moveTo>
                <a:pt x="0" y="38"/>
              </a:moveTo>
              <a:cubicBezTo>
                <a:pt x="10" y="34"/>
                <a:pt x="21" y="31"/>
                <a:pt x="31" y="25"/>
              </a:cubicBezTo>
              <a:cubicBezTo>
                <a:pt x="41" y="19"/>
                <a:pt x="49" y="9"/>
                <a:pt x="57" y="0"/>
              </a:cubicBezTo>
            </a:path>
          </a:pathLst>
        </a:custGeom>
        <a:noFill/>
        <a:ln w="9360">
          <a:solidFill>
            <a:srgbClr val="000000"/>
          </a:solidFill>
          <a:round/>
          <a:headEnd/>
          <a:tailEnd type="triangle" w="med" len="me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12</xdr:col>
      <xdr:colOff>527050</xdr:colOff>
      <xdr:row>2</xdr:row>
      <xdr:rowOff>0</xdr:rowOff>
    </xdr:from>
    <xdr:to>
      <xdr:col>13</xdr:col>
      <xdr:colOff>387350</xdr:colOff>
      <xdr:row>4</xdr:row>
      <xdr:rowOff>88900</xdr:rowOff>
    </xdr:to>
    <xdr:sp macro="" textlink="">
      <xdr:nvSpPr>
        <xdr:cNvPr id="4160" name="AutoShape 23">
          <a:extLst>
            <a:ext uri="{FF2B5EF4-FFF2-40B4-BE49-F238E27FC236}">
              <a16:creationId xmlns:a16="http://schemas.microsoft.com/office/drawing/2014/main" id="{00000000-0008-0000-0300-000040100000}"/>
            </a:ext>
          </a:extLst>
        </xdr:cNvPr>
        <xdr:cNvSpPr>
          <a:spLocks/>
        </xdr:cNvSpPr>
      </xdr:nvSpPr>
      <xdr:spPr bwMode="auto">
        <a:xfrm>
          <a:off x="8280400" y="457200"/>
          <a:ext cx="469900" cy="450850"/>
        </a:xfrm>
        <a:custGeom>
          <a:avLst/>
          <a:gdLst>
            <a:gd name="T0" fmla="*/ 2147483646 w 46"/>
            <a:gd name="T1" fmla="*/ 0 h 70"/>
            <a:gd name="T2" fmla="*/ 2147483646 w 46"/>
            <a:gd name="T3" fmla="*/ 588938914 h 70"/>
            <a:gd name="T4" fmla="*/ 2147483646 w 46"/>
            <a:gd name="T5" fmla="*/ 2019221895 h 70"/>
            <a:gd name="T6" fmla="*/ 0 w 46"/>
            <a:gd name="T7" fmla="*/ 2147483646 h 70"/>
            <a:gd name="T8" fmla="*/ 0 60000 65536"/>
            <a:gd name="T9" fmla="*/ 0 60000 65536"/>
            <a:gd name="T10" fmla="*/ 0 60000 65536"/>
            <a:gd name="T11" fmla="*/ 0 60000 65536"/>
            <a:gd name="T12" fmla="*/ 0 w 46"/>
            <a:gd name="T13" fmla="*/ 0 h 70"/>
            <a:gd name="T14" fmla="*/ 46 w 46"/>
            <a:gd name="T15" fmla="*/ 70 h 70"/>
          </a:gdLst>
          <a:ahLst/>
          <a:cxnLst>
            <a:cxn ang="T8">
              <a:pos x="T0" y="T1"/>
            </a:cxn>
            <a:cxn ang="T9">
              <a:pos x="T2" y="T3"/>
            </a:cxn>
            <a:cxn ang="T10">
              <a:pos x="T4" y="T5"/>
            </a:cxn>
            <a:cxn ang="T11">
              <a:pos x="T6" y="T7"/>
            </a:cxn>
          </a:cxnLst>
          <a:rect l="T12" t="T13" r="T14" b="T15"/>
          <a:pathLst>
            <a:path w="46" h="70">
              <a:moveTo>
                <a:pt x="44" y="0"/>
              </a:moveTo>
              <a:cubicBezTo>
                <a:pt x="45" y="3"/>
                <a:pt x="46" y="6"/>
                <a:pt x="45" y="14"/>
              </a:cubicBezTo>
              <a:cubicBezTo>
                <a:pt x="44" y="22"/>
                <a:pt x="44" y="39"/>
                <a:pt x="37" y="48"/>
              </a:cubicBezTo>
              <a:cubicBezTo>
                <a:pt x="30" y="57"/>
                <a:pt x="15" y="63"/>
                <a:pt x="0" y="70"/>
              </a:cubicBezTo>
            </a:path>
          </a:pathLst>
        </a:custGeom>
        <a:noFill/>
        <a:ln w="9360">
          <a:solidFill>
            <a:srgbClr val="000000"/>
          </a:solidFill>
          <a:round/>
          <a:headEnd/>
          <a:tailEnd type="triangle" w="med" len="me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35</xdr:col>
      <xdr:colOff>565150</xdr:colOff>
      <xdr:row>0</xdr:row>
      <xdr:rowOff>57150</xdr:rowOff>
    </xdr:from>
    <xdr:to>
      <xdr:col>38</xdr:col>
      <xdr:colOff>101600</xdr:colOff>
      <xdr:row>0</xdr:row>
      <xdr:rowOff>228600</xdr:rowOff>
    </xdr:to>
    <xdr:sp macro="" textlink="" fLocksText="0">
      <xdr:nvSpPr>
        <xdr:cNvPr id="4120" name="Text Box 24">
          <a:extLst>
            <a:ext uri="{FF2B5EF4-FFF2-40B4-BE49-F238E27FC236}">
              <a16:creationId xmlns:a16="http://schemas.microsoft.com/office/drawing/2014/main" id="{00000000-0008-0000-0300-000018100000}"/>
            </a:ext>
          </a:extLst>
        </xdr:cNvPr>
        <xdr:cNvSpPr txBox="1">
          <a:spLocks noChangeArrowheads="1"/>
        </xdr:cNvSpPr>
      </xdr:nvSpPr>
      <xdr:spPr bwMode="auto">
        <a:xfrm>
          <a:off x="23387050" y="57150"/>
          <a:ext cx="1771650" cy="171450"/>
        </a:xfrm>
        <a:prstGeom prst="rect">
          <a:avLst/>
        </a:prstGeom>
        <a:solidFill>
          <a:srgbClr val="99CCFF"/>
        </a:solidFill>
        <a:ln w="9360">
          <a:solidFill>
            <a:srgbClr val="000000"/>
          </a:solidFill>
          <a:miter lim="800000"/>
          <a:headEnd/>
          <a:tailEnd/>
        </a:ln>
        <a:effectLst/>
      </xdr:spPr>
      <xdr:txBody>
        <a:bodyPr vertOverflow="clip" wrap="square" lIns="27360" tIns="22680" rIns="27360" bIns="0" anchor="t"/>
        <a:lstStyle/>
        <a:p>
          <a:pPr algn="ctr" rtl="0">
            <a:defRPr sz="1000"/>
          </a:pPr>
          <a:r>
            <a:rPr lang="en-IN" sz="1000" b="0" i="0" u="none" strike="noStrike" baseline="0">
              <a:solidFill>
                <a:srgbClr val="000000"/>
              </a:solidFill>
              <a:latin typeface="Arial"/>
              <a:cs typeface="Arial"/>
            </a:rPr>
            <a:t>Paste Data Here</a:t>
          </a:r>
        </a:p>
      </xdr:txBody>
    </xdr:sp>
    <xdr:clientData/>
  </xdr:twoCellAnchor>
  <xdr:twoCellAnchor>
    <xdr:from>
      <xdr:col>33</xdr:col>
      <xdr:colOff>431800</xdr:colOff>
      <xdr:row>0</xdr:row>
      <xdr:rowOff>228600</xdr:rowOff>
    </xdr:from>
    <xdr:to>
      <xdr:col>35</xdr:col>
      <xdr:colOff>558800</xdr:colOff>
      <xdr:row>3</xdr:row>
      <xdr:rowOff>0</xdr:rowOff>
    </xdr:to>
    <xdr:sp macro="" textlink="">
      <xdr:nvSpPr>
        <xdr:cNvPr id="4162" name="Line 25">
          <a:extLst>
            <a:ext uri="{FF2B5EF4-FFF2-40B4-BE49-F238E27FC236}">
              <a16:creationId xmlns:a16="http://schemas.microsoft.com/office/drawing/2014/main" id="{00000000-0008-0000-0300-000042100000}"/>
            </a:ext>
          </a:extLst>
        </xdr:cNvPr>
        <xdr:cNvSpPr>
          <a:spLocks noChangeShapeType="1"/>
        </xdr:cNvSpPr>
      </xdr:nvSpPr>
      <xdr:spPr bwMode="auto">
        <a:xfrm flipH="1">
          <a:off x="22034500" y="228600"/>
          <a:ext cx="1346200" cy="425450"/>
        </a:xfrm>
        <a:prstGeom prst="line">
          <a:avLst/>
        </a:prstGeom>
        <a:noFill/>
        <a:ln w="9360">
          <a:solidFill>
            <a:srgbClr val="000000"/>
          </a:solidFill>
          <a:miter lim="800000"/>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37</xdr:col>
      <xdr:colOff>158750</xdr:colOff>
      <xdr:row>34</xdr:row>
      <xdr:rowOff>31750</xdr:rowOff>
    </xdr:from>
    <xdr:to>
      <xdr:col>39</xdr:col>
      <xdr:colOff>107950</xdr:colOff>
      <xdr:row>35</xdr:row>
      <xdr:rowOff>107950</xdr:rowOff>
    </xdr:to>
    <xdr:sp macro="" textlink="" fLocksText="0">
      <xdr:nvSpPr>
        <xdr:cNvPr id="4122" name="Text Box 26">
          <a:extLst>
            <a:ext uri="{FF2B5EF4-FFF2-40B4-BE49-F238E27FC236}">
              <a16:creationId xmlns:a16="http://schemas.microsoft.com/office/drawing/2014/main" id="{00000000-0008-0000-0300-00001A100000}"/>
            </a:ext>
          </a:extLst>
        </xdr:cNvPr>
        <xdr:cNvSpPr txBox="1">
          <a:spLocks noChangeArrowheads="1"/>
        </xdr:cNvSpPr>
      </xdr:nvSpPr>
      <xdr:spPr bwMode="auto">
        <a:xfrm>
          <a:off x="24485600" y="5873750"/>
          <a:ext cx="1358900" cy="234950"/>
        </a:xfrm>
        <a:prstGeom prst="rect">
          <a:avLst/>
        </a:prstGeom>
        <a:solidFill>
          <a:srgbClr val="99CCFF"/>
        </a:solidFill>
        <a:ln w="9360">
          <a:solidFill>
            <a:srgbClr val="000000"/>
          </a:solidFill>
          <a:miter lim="800000"/>
          <a:headEnd/>
          <a:tailEnd/>
        </a:ln>
        <a:effectLst/>
      </xdr:spPr>
      <xdr:txBody>
        <a:bodyPr vertOverflow="clip" wrap="square" lIns="27360" tIns="22680" rIns="27360" bIns="0" anchor="t"/>
        <a:lstStyle/>
        <a:p>
          <a:pPr algn="ctr" rtl="0">
            <a:defRPr sz="1000"/>
          </a:pPr>
          <a:r>
            <a:rPr lang="en-IN" sz="1000" b="0" i="0" u="none" strike="noStrike" baseline="0">
              <a:solidFill>
                <a:srgbClr val="000000"/>
              </a:solidFill>
              <a:latin typeface="Arial"/>
              <a:cs typeface="Arial"/>
            </a:rPr>
            <a:t>Paste Data Here</a:t>
          </a:r>
        </a:p>
      </xdr:txBody>
    </xdr:sp>
    <xdr:clientData/>
  </xdr:twoCellAnchor>
  <xdr:twoCellAnchor>
    <xdr:from>
      <xdr:col>36</xdr:col>
      <xdr:colOff>514350</xdr:colOff>
      <xdr:row>35</xdr:row>
      <xdr:rowOff>107950</xdr:rowOff>
    </xdr:from>
    <xdr:to>
      <xdr:col>37</xdr:col>
      <xdr:colOff>139700</xdr:colOff>
      <xdr:row>38</xdr:row>
      <xdr:rowOff>19050</xdr:rowOff>
    </xdr:to>
    <xdr:sp macro="" textlink="">
      <xdr:nvSpPr>
        <xdr:cNvPr id="4164" name="Line 27">
          <a:extLst>
            <a:ext uri="{FF2B5EF4-FFF2-40B4-BE49-F238E27FC236}">
              <a16:creationId xmlns:a16="http://schemas.microsoft.com/office/drawing/2014/main" id="{00000000-0008-0000-0300-000044100000}"/>
            </a:ext>
          </a:extLst>
        </xdr:cNvPr>
        <xdr:cNvSpPr>
          <a:spLocks noChangeShapeType="1"/>
        </xdr:cNvSpPr>
      </xdr:nvSpPr>
      <xdr:spPr bwMode="auto">
        <a:xfrm flipH="1">
          <a:off x="24231600" y="6108700"/>
          <a:ext cx="234950" cy="400050"/>
        </a:xfrm>
        <a:prstGeom prst="line">
          <a:avLst/>
        </a:prstGeom>
        <a:noFill/>
        <a:ln w="9360">
          <a:solidFill>
            <a:srgbClr val="000000"/>
          </a:solidFill>
          <a:miter lim="800000"/>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21</xdr:col>
      <xdr:colOff>330200</xdr:colOff>
      <xdr:row>52</xdr:row>
      <xdr:rowOff>69850</xdr:rowOff>
    </xdr:from>
    <xdr:to>
      <xdr:col>23</xdr:col>
      <xdr:colOff>412750</xdr:colOff>
      <xdr:row>53</xdr:row>
      <xdr:rowOff>25400</xdr:rowOff>
    </xdr:to>
    <xdr:sp macro="" textlink="" fLocksText="0">
      <xdr:nvSpPr>
        <xdr:cNvPr id="4124" name="Text Box 28">
          <a:extLst>
            <a:ext uri="{FF2B5EF4-FFF2-40B4-BE49-F238E27FC236}">
              <a16:creationId xmlns:a16="http://schemas.microsoft.com/office/drawing/2014/main" id="{00000000-0008-0000-0300-00001C100000}"/>
            </a:ext>
          </a:extLst>
        </xdr:cNvPr>
        <xdr:cNvSpPr txBox="1">
          <a:spLocks noChangeArrowheads="1"/>
        </xdr:cNvSpPr>
      </xdr:nvSpPr>
      <xdr:spPr bwMode="auto">
        <a:xfrm>
          <a:off x="13900150" y="8807450"/>
          <a:ext cx="1301750" cy="184150"/>
        </a:xfrm>
        <a:prstGeom prst="rect">
          <a:avLst/>
        </a:prstGeom>
        <a:solidFill>
          <a:srgbClr val="99CCFF"/>
        </a:solidFill>
        <a:ln w="9360">
          <a:solidFill>
            <a:srgbClr val="000000"/>
          </a:solidFill>
          <a:miter lim="800000"/>
          <a:headEnd/>
          <a:tailEnd/>
        </a:ln>
        <a:effectLst/>
      </xdr:spPr>
      <xdr:txBody>
        <a:bodyPr vertOverflow="clip" wrap="square" lIns="27360" tIns="22680" rIns="27360" bIns="0" anchor="t"/>
        <a:lstStyle/>
        <a:p>
          <a:pPr algn="ctr" rtl="0">
            <a:defRPr sz="1000"/>
          </a:pPr>
          <a:r>
            <a:rPr lang="en-IN" sz="1000" b="0" i="0" u="none" strike="noStrike" baseline="0">
              <a:solidFill>
                <a:srgbClr val="000000"/>
              </a:solidFill>
              <a:latin typeface="Arial"/>
              <a:cs typeface="Arial"/>
            </a:rPr>
            <a:t>Paste Data Here</a:t>
          </a:r>
        </a:p>
      </xdr:txBody>
    </xdr:sp>
    <xdr:clientData/>
  </xdr:twoCellAnchor>
  <xdr:twoCellAnchor>
    <xdr:from>
      <xdr:col>20</xdr:col>
      <xdr:colOff>247650</xdr:colOff>
      <xdr:row>52</xdr:row>
      <xdr:rowOff>101600</xdr:rowOff>
    </xdr:from>
    <xdr:to>
      <xdr:col>21</xdr:col>
      <xdr:colOff>419100</xdr:colOff>
      <xdr:row>55</xdr:row>
      <xdr:rowOff>57150</xdr:rowOff>
    </xdr:to>
    <xdr:sp macro="" textlink="">
      <xdr:nvSpPr>
        <xdr:cNvPr id="4166" name="AutoShape 29">
          <a:extLst>
            <a:ext uri="{FF2B5EF4-FFF2-40B4-BE49-F238E27FC236}">
              <a16:creationId xmlns:a16="http://schemas.microsoft.com/office/drawing/2014/main" id="{00000000-0008-0000-0300-000046100000}"/>
            </a:ext>
          </a:extLst>
        </xdr:cNvPr>
        <xdr:cNvSpPr>
          <a:spLocks/>
        </xdr:cNvSpPr>
      </xdr:nvSpPr>
      <xdr:spPr bwMode="auto">
        <a:xfrm rot="-10140000">
          <a:off x="13208000" y="8839200"/>
          <a:ext cx="781050" cy="508000"/>
        </a:xfrm>
        <a:custGeom>
          <a:avLst/>
          <a:gdLst>
            <a:gd name="T0" fmla="*/ 0 w 57"/>
            <a:gd name="T1" fmla="*/ 2147483646 h 38"/>
            <a:gd name="T2" fmla="*/ 2147483646 w 57"/>
            <a:gd name="T3" fmla="*/ 2147483646 h 38"/>
            <a:gd name="T4" fmla="*/ 2147483646 w 57"/>
            <a:gd name="T5" fmla="*/ 0 h 38"/>
            <a:gd name="T6" fmla="*/ 0 60000 65536"/>
            <a:gd name="T7" fmla="*/ 0 60000 65536"/>
            <a:gd name="T8" fmla="*/ 0 60000 65536"/>
            <a:gd name="T9" fmla="*/ 0 w 57"/>
            <a:gd name="T10" fmla="*/ 0 h 38"/>
            <a:gd name="T11" fmla="*/ 57 w 57"/>
            <a:gd name="T12" fmla="*/ 38 h 38"/>
          </a:gdLst>
          <a:ahLst/>
          <a:cxnLst>
            <a:cxn ang="T6">
              <a:pos x="T0" y="T1"/>
            </a:cxn>
            <a:cxn ang="T7">
              <a:pos x="T2" y="T3"/>
            </a:cxn>
            <a:cxn ang="T8">
              <a:pos x="T4" y="T5"/>
            </a:cxn>
          </a:cxnLst>
          <a:rect l="T9" t="T10" r="T11" b="T12"/>
          <a:pathLst>
            <a:path w="57" h="38">
              <a:moveTo>
                <a:pt x="0" y="38"/>
              </a:moveTo>
              <a:cubicBezTo>
                <a:pt x="10" y="34"/>
                <a:pt x="21" y="31"/>
                <a:pt x="31" y="25"/>
              </a:cubicBezTo>
              <a:cubicBezTo>
                <a:pt x="41" y="19"/>
                <a:pt x="49" y="9"/>
                <a:pt x="57" y="0"/>
              </a:cubicBezTo>
            </a:path>
          </a:pathLst>
        </a:custGeom>
        <a:noFill/>
        <a:ln w="9360">
          <a:solidFill>
            <a:srgbClr val="000000"/>
          </a:solidFill>
          <a:round/>
          <a:headEnd/>
          <a:tailEnd type="triangle" w="med" len="me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20</xdr:col>
      <xdr:colOff>463550</xdr:colOff>
      <xdr:row>104</xdr:row>
      <xdr:rowOff>25400</xdr:rowOff>
    </xdr:from>
    <xdr:to>
      <xdr:col>22</xdr:col>
      <xdr:colOff>273050</xdr:colOff>
      <xdr:row>108</xdr:row>
      <xdr:rowOff>76200</xdr:rowOff>
    </xdr:to>
    <xdr:sp macro="" textlink="">
      <xdr:nvSpPr>
        <xdr:cNvPr id="4167" name="AutoShape 30">
          <a:extLst>
            <a:ext uri="{FF2B5EF4-FFF2-40B4-BE49-F238E27FC236}">
              <a16:creationId xmlns:a16="http://schemas.microsoft.com/office/drawing/2014/main" id="{00000000-0008-0000-0300-000047100000}"/>
            </a:ext>
          </a:extLst>
        </xdr:cNvPr>
        <xdr:cNvSpPr>
          <a:spLocks/>
        </xdr:cNvSpPr>
      </xdr:nvSpPr>
      <xdr:spPr bwMode="auto">
        <a:xfrm rot="-5760000">
          <a:off x="13592175" y="16989425"/>
          <a:ext cx="692150" cy="1028700"/>
        </a:xfrm>
        <a:custGeom>
          <a:avLst/>
          <a:gdLst>
            <a:gd name="T0" fmla="*/ 0 w 57"/>
            <a:gd name="T1" fmla="*/ 2147483646 h 38"/>
            <a:gd name="T2" fmla="*/ 2147483646 w 57"/>
            <a:gd name="T3" fmla="*/ 2147483646 h 38"/>
            <a:gd name="T4" fmla="*/ 2147483646 w 57"/>
            <a:gd name="T5" fmla="*/ 0 h 38"/>
            <a:gd name="T6" fmla="*/ 0 60000 65536"/>
            <a:gd name="T7" fmla="*/ 0 60000 65536"/>
            <a:gd name="T8" fmla="*/ 0 60000 65536"/>
            <a:gd name="T9" fmla="*/ 0 w 57"/>
            <a:gd name="T10" fmla="*/ 0 h 38"/>
            <a:gd name="T11" fmla="*/ 57 w 57"/>
            <a:gd name="T12" fmla="*/ 38 h 38"/>
          </a:gdLst>
          <a:ahLst/>
          <a:cxnLst>
            <a:cxn ang="T6">
              <a:pos x="T0" y="T1"/>
            </a:cxn>
            <a:cxn ang="T7">
              <a:pos x="T2" y="T3"/>
            </a:cxn>
            <a:cxn ang="T8">
              <a:pos x="T4" y="T5"/>
            </a:cxn>
          </a:cxnLst>
          <a:rect l="T9" t="T10" r="T11" b="T12"/>
          <a:pathLst>
            <a:path w="57" h="38">
              <a:moveTo>
                <a:pt x="0" y="38"/>
              </a:moveTo>
              <a:cubicBezTo>
                <a:pt x="10" y="34"/>
                <a:pt x="21" y="31"/>
                <a:pt x="31" y="25"/>
              </a:cubicBezTo>
              <a:cubicBezTo>
                <a:pt x="41" y="19"/>
                <a:pt x="49" y="9"/>
                <a:pt x="57" y="0"/>
              </a:cubicBezTo>
            </a:path>
          </a:pathLst>
        </a:custGeom>
        <a:noFill/>
        <a:ln w="9360">
          <a:solidFill>
            <a:srgbClr val="000000"/>
          </a:solidFill>
          <a:round/>
          <a:headEnd/>
          <a:tailEnd type="triangle" w="med" len="me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5</xdr:col>
      <xdr:colOff>209550</xdr:colOff>
      <xdr:row>133</xdr:row>
      <xdr:rowOff>107950</xdr:rowOff>
    </xdr:from>
    <xdr:to>
      <xdr:col>7</xdr:col>
      <xdr:colOff>184150</xdr:colOff>
      <xdr:row>135</xdr:row>
      <xdr:rowOff>25400</xdr:rowOff>
    </xdr:to>
    <xdr:sp macro="" textlink="" fLocksText="0">
      <xdr:nvSpPr>
        <xdr:cNvPr id="4127" name="Text Box 31">
          <a:extLst>
            <a:ext uri="{FF2B5EF4-FFF2-40B4-BE49-F238E27FC236}">
              <a16:creationId xmlns:a16="http://schemas.microsoft.com/office/drawing/2014/main" id="{00000000-0008-0000-0300-00001F100000}"/>
            </a:ext>
          </a:extLst>
        </xdr:cNvPr>
        <xdr:cNvSpPr txBox="1">
          <a:spLocks noChangeArrowheads="1"/>
        </xdr:cNvSpPr>
      </xdr:nvSpPr>
      <xdr:spPr bwMode="auto">
        <a:xfrm>
          <a:off x="3257550" y="21990050"/>
          <a:ext cx="1193800" cy="247650"/>
        </a:xfrm>
        <a:prstGeom prst="rect">
          <a:avLst/>
        </a:prstGeom>
        <a:solidFill>
          <a:srgbClr val="99CCFF"/>
        </a:solidFill>
        <a:ln w="9360">
          <a:solidFill>
            <a:srgbClr val="000000"/>
          </a:solidFill>
          <a:miter lim="800000"/>
          <a:headEnd/>
          <a:tailEnd/>
        </a:ln>
        <a:effectLst/>
      </xdr:spPr>
      <xdr:txBody>
        <a:bodyPr vertOverflow="clip" wrap="square" lIns="27360" tIns="22680" rIns="0" bIns="0" anchor="t"/>
        <a:lstStyle/>
        <a:p>
          <a:pPr algn="l" rtl="0">
            <a:defRPr sz="1000"/>
          </a:pPr>
          <a:r>
            <a:rPr lang="en-IN" sz="1000" b="0" i="0" u="none" strike="noStrike" baseline="0">
              <a:solidFill>
                <a:srgbClr val="000000"/>
              </a:solidFill>
              <a:latin typeface="Arial"/>
              <a:cs typeface="Arial"/>
            </a:rPr>
            <a:t>Paste Data Here</a:t>
          </a:r>
        </a:p>
      </xdr:txBody>
    </xdr:sp>
    <xdr:clientData/>
  </xdr:twoCellAnchor>
  <xdr:twoCellAnchor>
    <xdr:from>
      <xdr:col>4</xdr:col>
      <xdr:colOff>0</xdr:colOff>
      <xdr:row>135</xdr:row>
      <xdr:rowOff>19050</xdr:rowOff>
    </xdr:from>
    <xdr:to>
      <xdr:col>5</xdr:col>
      <xdr:colOff>222250</xdr:colOff>
      <xdr:row>137</xdr:row>
      <xdr:rowOff>139700</xdr:rowOff>
    </xdr:to>
    <xdr:sp macro="" textlink="">
      <xdr:nvSpPr>
        <xdr:cNvPr id="4169" name="Line 32">
          <a:extLst>
            <a:ext uri="{FF2B5EF4-FFF2-40B4-BE49-F238E27FC236}">
              <a16:creationId xmlns:a16="http://schemas.microsoft.com/office/drawing/2014/main" id="{00000000-0008-0000-0300-000049100000}"/>
            </a:ext>
          </a:extLst>
        </xdr:cNvPr>
        <xdr:cNvSpPr>
          <a:spLocks noChangeShapeType="1"/>
        </xdr:cNvSpPr>
      </xdr:nvSpPr>
      <xdr:spPr bwMode="auto">
        <a:xfrm flipH="1">
          <a:off x="2438400" y="22231350"/>
          <a:ext cx="831850" cy="438150"/>
        </a:xfrm>
        <a:prstGeom prst="line">
          <a:avLst/>
        </a:prstGeom>
        <a:noFill/>
        <a:ln w="9360">
          <a:solidFill>
            <a:srgbClr val="000000"/>
          </a:solidFill>
          <a:miter lim="800000"/>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6</xdr:col>
      <xdr:colOff>222250</xdr:colOff>
      <xdr:row>78</xdr:row>
      <xdr:rowOff>69850</xdr:rowOff>
    </xdr:from>
    <xdr:to>
      <xdr:col>10</xdr:col>
      <xdr:colOff>0</xdr:colOff>
      <xdr:row>83</xdr:row>
      <xdr:rowOff>0</xdr:rowOff>
    </xdr:to>
    <xdr:sp macro="" textlink="" fLocksText="0">
      <xdr:nvSpPr>
        <xdr:cNvPr id="4129" name="Text Box 33">
          <a:extLst>
            <a:ext uri="{FF2B5EF4-FFF2-40B4-BE49-F238E27FC236}">
              <a16:creationId xmlns:a16="http://schemas.microsoft.com/office/drawing/2014/main" id="{00000000-0008-0000-0300-000021100000}"/>
            </a:ext>
          </a:extLst>
        </xdr:cNvPr>
        <xdr:cNvSpPr txBox="1">
          <a:spLocks noChangeArrowheads="1"/>
        </xdr:cNvSpPr>
      </xdr:nvSpPr>
      <xdr:spPr bwMode="auto">
        <a:xfrm>
          <a:off x="3879850" y="13042900"/>
          <a:ext cx="2654300" cy="730250"/>
        </a:xfrm>
        <a:prstGeom prst="rect">
          <a:avLst/>
        </a:prstGeom>
        <a:solidFill>
          <a:srgbClr val="99CCFF"/>
        </a:solidFill>
        <a:ln w="9360">
          <a:solidFill>
            <a:srgbClr val="000000"/>
          </a:solidFill>
          <a:miter lim="800000"/>
          <a:headEnd/>
          <a:tailEnd/>
        </a:ln>
        <a:effectLst/>
      </xdr:spPr>
      <xdr:txBody>
        <a:bodyPr vertOverflow="clip" wrap="square" lIns="27360" tIns="22680" rIns="0" bIns="0" anchor="t"/>
        <a:lstStyle/>
        <a:p>
          <a:pPr algn="l" rtl="0">
            <a:defRPr sz="1000"/>
          </a:pPr>
          <a:r>
            <a:rPr lang="en-IN" sz="1000" b="0" i="0" u="none" strike="noStrike" baseline="0">
              <a:solidFill>
                <a:srgbClr val="000000"/>
              </a:solidFill>
              <a:latin typeface="Arial"/>
              <a:cs typeface="Arial"/>
            </a:rPr>
            <a:t>NOTE:  Use Data Analysis under Tools to complete these sections. </a:t>
          </a:r>
        </a:p>
        <a:p>
          <a:pPr algn="l" rtl="0">
            <a:defRPr sz="1000"/>
          </a:pPr>
          <a:r>
            <a:rPr lang="en-IN" sz="1000" b="0" i="0" u="none" strike="noStrike" baseline="0">
              <a:solidFill>
                <a:srgbClr val="000000"/>
              </a:solidFill>
              <a:latin typeface="Arial"/>
              <a:cs typeface="Arial"/>
            </a:rPr>
            <a:t>Don't forget to enter % significancce in the </a:t>
          </a:r>
          <a:r>
            <a:rPr lang="en-IN" sz="1000" b="1" i="0" u="sng" strike="noStrike" baseline="0">
              <a:solidFill>
                <a:srgbClr val="000000"/>
              </a:solidFill>
              <a:latin typeface="Arial"/>
              <a:cs typeface="Arial"/>
            </a:rPr>
            <a:t>"ALPHA"</a:t>
          </a:r>
          <a:r>
            <a:rPr lang="en-IN" sz="1000" b="1" i="0" u="none" strike="noStrike" baseline="0">
              <a:solidFill>
                <a:srgbClr val="000000"/>
              </a:solidFill>
              <a:latin typeface="Arial"/>
              <a:cs typeface="Arial"/>
            </a:rPr>
            <a:t> </a:t>
          </a:r>
          <a:r>
            <a:rPr lang="en-IN" sz="1000" b="0" i="0" u="none" strike="noStrike" baseline="0">
              <a:solidFill>
                <a:srgbClr val="000000"/>
              </a:solidFill>
              <a:latin typeface="Arial"/>
              <a:cs typeface="Arial"/>
            </a:rPr>
            <a:t>box.</a:t>
          </a:r>
        </a:p>
      </xdr:txBody>
    </xdr:sp>
    <xdr:clientData/>
  </xdr:twoCellAnchor>
  <xdr:twoCellAnchor>
    <xdr:from>
      <xdr:col>1</xdr:col>
      <xdr:colOff>209550</xdr:colOff>
      <xdr:row>16</xdr:row>
      <xdr:rowOff>133350</xdr:rowOff>
    </xdr:from>
    <xdr:to>
      <xdr:col>4</xdr:col>
      <xdr:colOff>590550</xdr:colOff>
      <xdr:row>19</xdr:row>
      <xdr:rowOff>127000</xdr:rowOff>
    </xdr:to>
    <xdr:sp macro="" textlink="" fLocksText="0">
      <xdr:nvSpPr>
        <xdr:cNvPr id="4130" name="Text Box 34">
          <a:extLst>
            <a:ext uri="{FF2B5EF4-FFF2-40B4-BE49-F238E27FC236}">
              <a16:creationId xmlns:a16="http://schemas.microsoft.com/office/drawing/2014/main" id="{00000000-0008-0000-0300-000022100000}"/>
            </a:ext>
          </a:extLst>
        </xdr:cNvPr>
        <xdr:cNvSpPr txBox="1">
          <a:spLocks noChangeArrowheads="1"/>
        </xdr:cNvSpPr>
      </xdr:nvSpPr>
      <xdr:spPr bwMode="auto">
        <a:xfrm>
          <a:off x="819150" y="3009900"/>
          <a:ext cx="2209800" cy="469900"/>
        </a:xfrm>
        <a:prstGeom prst="rect">
          <a:avLst/>
        </a:prstGeom>
        <a:solidFill>
          <a:srgbClr val="99CCFF"/>
        </a:solidFill>
        <a:ln w="9360">
          <a:solidFill>
            <a:srgbClr val="000000"/>
          </a:solidFill>
          <a:miter lim="800000"/>
          <a:headEnd/>
          <a:tailEnd/>
        </a:ln>
        <a:effectLst/>
      </xdr:spPr>
      <xdr:txBody>
        <a:bodyPr vertOverflow="clip" wrap="square" lIns="27360" tIns="22680" rIns="0" bIns="0" anchor="t"/>
        <a:lstStyle/>
        <a:p>
          <a:pPr algn="l" rtl="0">
            <a:defRPr sz="1000"/>
          </a:pPr>
          <a:r>
            <a:rPr lang="en-IN" sz="1000" b="0" i="0" u="none" strike="noStrike" baseline="0">
              <a:solidFill>
                <a:srgbClr val="000000"/>
              </a:solidFill>
              <a:latin typeface="Arial"/>
              <a:cs typeface="Arial"/>
            </a:rPr>
            <a:t>Input percentage asked for 1 sided. No need to compensate as is the case for proportions.</a:t>
          </a:r>
        </a:p>
      </xdr:txBody>
    </xdr:sp>
    <xdr:clientData/>
  </xdr:twoCellAnchor>
  <xdr:twoCellAnchor>
    <xdr:from>
      <xdr:col>39</xdr:col>
      <xdr:colOff>152400</xdr:colOff>
      <xdr:row>19</xdr:row>
      <xdr:rowOff>107950</xdr:rowOff>
    </xdr:from>
    <xdr:to>
      <xdr:col>44</xdr:col>
      <xdr:colOff>158750</xdr:colOff>
      <xdr:row>27</xdr:row>
      <xdr:rowOff>19050</xdr:rowOff>
    </xdr:to>
    <xdr:sp macro="" textlink="" fLocksText="0">
      <xdr:nvSpPr>
        <xdr:cNvPr id="4131" name="Text Box 35">
          <a:extLst>
            <a:ext uri="{FF2B5EF4-FFF2-40B4-BE49-F238E27FC236}">
              <a16:creationId xmlns:a16="http://schemas.microsoft.com/office/drawing/2014/main" id="{00000000-0008-0000-0300-000023100000}"/>
            </a:ext>
          </a:extLst>
        </xdr:cNvPr>
        <xdr:cNvSpPr txBox="1">
          <a:spLocks noChangeArrowheads="1"/>
        </xdr:cNvSpPr>
      </xdr:nvSpPr>
      <xdr:spPr bwMode="auto">
        <a:xfrm>
          <a:off x="25888950" y="3460750"/>
          <a:ext cx="3448050" cy="1212850"/>
        </a:xfrm>
        <a:prstGeom prst="rect">
          <a:avLst/>
        </a:prstGeom>
        <a:solidFill>
          <a:srgbClr val="99CCFF"/>
        </a:solidFill>
        <a:ln w="9360">
          <a:solidFill>
            <a:srgbClr val="000000"/>
          </a:solidFill>
          <a:miter lim="800000"/>
          <a:headEnd/>
          <a:tailEnd/>
        </a:ln>
        <a:effectLst/>
      </xdr:spPr>
      <xdr:txBody>
        <a:bodyPr vertOverflow="clip" wrap="square" lIns="27360" tIns="22680" rIns="0" bIns="0" anchor="t"/>
        <a:lstStyle/>
        <a:p>
          <a:pPr algn="l" rtl="0">
            <a:defRPr sz="1000"/>
          </a:pPr>
          <a:r>
            <a:rPr lang="en-IN" sz="1000" b="0" i="0" u="none" strike="noStrike" baseline="0">
              <a:solidFill>
                <a:srgbClr val="000000"/>
              </a:solidFill>
              <a:latin typeface="Arial"/>
              <a:cs typeface="Arial"/>
            </a:rPr>
            <a:t>Sample Question: </a:t>
          </a:r>
          <a:r>
            <a:rPr lang="en-IN" sz="1000" b="1" i="1" u="sng" strike="noStrike" baseline="0">
              <a:solidFill>
                <a:srgbClr val="000000"/>
              </a:solidFill>
              <a:latin typeface="Arial"/>
              <a:cs typeface="Arial"/>
            </a:rPr>
            <a:t>Confidence Interval for the Variance</a:t>
          </a:r>
        </a:p>
        <a:p>
          <a:pPr algn="l" rtl="0">
            <a:defRPr sz="1000"/>
          </a:pPr>
          <a:r>
            <a:rPr lang="en-IN" sz="1000" b="0" i="0" u="none" strike="noStrike" baseline="0">
              <a:solidFill>
                <a:srgbClr val="000000"/>
              </a:solidFill>
              <a:latin typeface="Arial"/>
              <a:cs typeface="Arial"/>
            </a:rPr>
            <a:t>Given the data in the table below, what is the value of the computed statistic when testing to determine if the standard deviation is greater than 6.6?  Please use at least 3 decimal places for all answers.</a:t>
          </a:r>
        </a:p>
        <a:p>
          <a:pPr algn="l" rtl="0">
            <a:defRPr sz="1000"/>
          </a:pPr>
          <a:endParaRPr lang="en-IN" sz="1000" b="0" i="0" u="none" strike="noStrike" baseline="0">
            <a:solidFill>
              <a:srgbClr val="000000"/>
            </a:solidFill>
            <a:latin typeface="Arial"/>
            <a:cs typeface="Arial"/>
          </a:endParaRPr>
        </a:p>
        <a:p>
          <a:pPr algn="l" rtl="0">
            <a:defRPr sz="1000"/>
          </a:pPr>
          <a:r>
            <a:rPr lang="en-IN" sz="1000" b="1" i="0" u="sng" strike="noStrike" baseline="0">
              <a:solidFill>
                <a:srgbClr val="000000"/>
              </a:solidFill>
              <a:latin typeface="Arial"/>
              <a:cs typeface="Arial"/>
            </a:rPr>
            <a:t>ANSWER:  12.2926</a:t>
          </a:r>
        </a:p>
      </xdr:txBody>
    </xdr:sp>
    <xdr:clientData/>
  </xdr:twoCellAnchor>
  <xdr:twoCellAnchor>
    <xdr:from>
      <xdr:col>26</xdr:col>
      <xdr:colOff>438150</xdr:colOff>
      <xdr:row>52</xdr:row>
      <xdr:rowOff>146050</xdr:rowOff>
    </xdr:from>
    <xdr:to>
      <xdr:col>31</xdr:col>
      <xdr:colOff>171450</xdr:colOff>
      <xdr:row>63</xdr:row>
      <xdr:rowOff>133350</xdr:rowOff>
    </xdr:to>
    <xdr:sp macro="" textlink="" fLocksText="0">
      <xdr:nvSpPr>
        <xdr:cNvPr id="4132" name="Text Box 36">
          <a:extLst>
            <a:ext uri="{FF2B5EF4-FFF2-40B4-BE49-F238E27FC236}">
              <a16:creationId xmlns:a16="http://schemas.microsoft.com/office/drawing/2014/main" id="{00000000-0008-0000-0300-000024100000}"/>
            </a:ext>
          </a:extLst>
        </xdr:cNvPr>
        <xdr:cNvSpPr txBox="1">
          <a:spLocks noChangeArrowheads="1"/>
        </xdr:cNvSpPr>
      </xdr:nvSpPr>
      <xdr:spPr bwMode="auto">
        <a:xfrm>
          <a:off x="17208500" y="8883650"/>
          <a:ext cx="3346450" cy="1822450"/>
        </a:xfrm>
        <a:prstGeom prst="rect">
          <a:avLst/>
        </a:prstGeom>
        <a:solidFill>
          <a:srgbClr val="99CCFF"/>
        </a:solidFill>
        <a:ln w="9360">
          <a:solidFill>
            <a:srgbClr val="000000"/>
          </a:solidFill>
          <a:miter lim="800000"/>
          <a:headEnd/>
          <a:tailEnd/>
        </a:ln>
        <a:effectLst/>
      </xdr:spPr>
      <xdr:txBody>
        <a:bodyPr vertOverflow="clip" wrap="square" lIns="27360" tIns="22680" rIns="0" bIns="0" anchor="t"/>
        <a:lstStyle/>
        <a:p>
          <a:pPr algn="l" rtl="0">
            <a:defRPr sz="1000"/>
          </a:pPr>
          <a:r>
            <a:rPr lang="en-IN" sz="1000" b="1" i="0" u="sng" strike="noStrike" baseline="0">
              <a:solidFill>
                <a:srgbClr val="000000"/>
              </a:solidFill>
              <a:latin typeface="Arial"/>
              <a:cs typeface="Arial"/>
            </a:rPr>
            <a:t>Sample Question:</a:t>
          </a:r>
          <a:r>
            <a:rPr lang="en-IN" sz="1000" b="1" i="1" u="sng" strike="noStrike" baseline="0">
              <a:solidFill>
                <a:srgbClr val="000000"/>
              </a:solidFill>
              <a:latin typeface="Arial"/>
              <a:cs typeface="Arial"/>
            </a:rPr>
            <a:t> Hypothesis Test for Two Means </a:t>
          </a:r>
          <a:r>
            <a:rPr lang="en-IN" sz="1000" b="0" i="0" u="none" strike="noStrike" baseline="0">
              <a:solidFill>
                <a:srgbClr val="000000"/>
              </a:solidFill>
              <a:latin typeface="Arial"/>
              <a:cs typeface="Arial"/>
            </a:rPr>
            <a:t>(Use Excel Data Analysis t-Test: Two-Sample Assuming Unequal Variances)</a:t>
          </a:r>
        </a:p>
        <a:p>
          <a:pPr algn="l" rtl="0">
            <a:defRPr sz="1000"/>
          </a:pPr>
          <a:r>
            <a:rPr lang="en-IN" sz="1000" b="0" i="0" u="none" strike="noStrike" baseline="0">
              <a:solidFill>
                <a:srgbClr val="000000"/>
              </a:solidFill>
              <a:latin typeface="Arial"/>
              <a:cs typeface="Arial"/>
            </a:rPr>
            <a:t>Given the data in the table above, and assuming unequal variances, what is the value of the computed statistic for a hypothesis test to determine if the mean of the parts produced by Machine A is greater than the mean of the parts produced by Machine B?  Please use at least 3 decimal places for all answers.</a:t>
          </a:r>
        </a:p>
        <a:p>
          <a:pPr algn="l" rtl="0">
            <a:defRPr sz="1000"/>
          </a:pPr>
          <a:endParaRPr lang="en-IN" sz="1000" b="0" i="0" u="none" strike="noStrike" baseline="0">
            <a:solidFill>
              <a:srgbClr val="000000"/>
            </a:solidFill>
            <a:latin typeface="Arial"/>
            <a:cs typeface="Arial"/>
          </a:endParaRPr>
        </a:p>
        <a:p>
          <a:pPr algn="l" rtl="0">
            <a:defRPr sz="1000"/>
          </a:pPr>
          <a:r>
            <a:rPr lang="en-IN" sz="1000" b="1" i="0" u="sng" strike="noStrike" baseline="0">
              <a:solidFill>
                <a:srgbClr val="000000"/>
              </a:solidFill>
              <a:latin typeface="Arial"/>
              <a:cs typeface="Arial"/>
            </a:rPr>
            <a:t>ANSWER: -3.04775</a:t>
          </a:r>
        </a:p>
      </xdr:txBody>
    </xdr:sp>
    <xdr:clientData/>
  </xdr:twoCellAnchor>
  <xdr:twoCellAnchor>
    <xdr:from>
      <xdr:col>24</xdr:col>
      <xdr:colOff>158750</xdr:colOff>
      <xdr:row>59</xdr:row>
      <xdr:rowOff>57150</xdr:rowOff>
    </xdr:from>
    <xdr:to>
      <xdr:col>26</xdr:col>
      <xdr:colOff>247650</xdr:colOff>
      <xdr:row>66</xdr:row>
      <xdr:rowOff>38100</xdr:rowOff>
    </xdr:to>
    <xdr:sp macro="" textlink="" fLocksText="0">
      <xdr:nvSpPr>
        <xdr:cNvPr id="4133" name="Text Box 37">
          <a:extLst>
            <a:ext uri="{FF2B5EF4-FFF2-40B4-BE49-F238E27FC236}">
              <a16:creationId xmlns:a16="http://schemas.microsoft.com/office/drawing/2014/main" id="{00000000-0008-0000-0300-000025100000}"/>
            </a:ext>
          </a:extLst>
        </xdr:cNvPr>
        <xdr:cNvSpPr txBox="1">
          <a:spLocks noChangeArrowheads="1"/>
        </xdr:cNvSpPr>
      </xdr:nvSpPr>
      <xdr:spPr bwMode="auto">
        <a:xfrm>
          <a:off x="15557500" y="9982200"/>
          <a:ext cx="1460500" cy="1104900"/>
        </a:xfrm>
        <a:prstGeom prst="rect">
          <a:avLst/>
        </a:prstGeom>
        <a:solidFill>
          <a:srgbClr val="99CCFF"/>
        </a:solidFill>
        <a:ln w="9360">
          <a:solidFill>
            <a:srgbClr val="000000"/>
          </a:solidFill>
          <a:miter lim="800000"/>
          <a:headEnd/>
          <a:tailEnd/>
        </a:ln>
        <a:effectLst/>
      </xdr:spPr>
      <xdr:txBody>
        <a:bodyPr vertOverflow="clip" wrap="square" lIns="27360" tIns="22680" rIns="0" bIns="0" anchor="t"/>
        <a:lstStyle/>
        <a:p>
          <a:pPr algn="l" rtl="0">
            <a:defRPr sz="1000"/>
          </a:pPr>
          <a:r>
            <a:rPr lang="en-IN" sz="1000" b="0" i="0" u="none" strike="noStrike" baseline="0">
              <a:solidFill>
                <a:srgbClr val="000000"/>
              </a:solidFill>
              <a:latin typeface="Arial"/>
              <a:cs typeface="Arial"/>
            </a:rPr>
            <a:t>Note to self:  If question asks for degrees of freedom AND also asks for responses with "at least 3 decimal places", ignore that latter.</a:t>
          </a:r>
        </a:p>
      </xdr:txBody>
    </xdr:sp>
    <xdr:clientData/>
  </xdr:twoCellAnchor>
  <xdr:twoCellAnchor>
    <xdr:from>
      <xdr:col>14</xdr:col>
      <xdr:colOff>57150</xdr:colOff>
      <xdr:row>132</xdr:row>
      <xdr:rowOff>57150</xdr:rowOff>
    </xdr:from>
    <xdr:to>
      <xdr:col>16</xdr:col>
      <xdr:colOff>552450</xdr:colOff>
      <xdr:row>133</xdr:row>
      <xdr:rowOff>146050</xdr:rowOff>
    </xdr:to>
    <xdr:sp macro="" textlink="" fLocksText="0">
      <xdr:nvSpPr>
        <xdr:cNvPr id="4134" name="Text Box 38">
          <a:extLst>
            <a:ext uri="{FF2B5EF4-FFF2-40B4-BE49-F238E27FC236}">
              <a16:creationId xmlns:a16="http://schemas.microsoft.com/office/drawing/2014/main" id="{00000000-0008-0000-0300-000026100000}"/>
            </a:ext>
          </a:extLst>
        </xdr:cNvPr>
        <xdr:cNvSpPr txBox="1">
          <a:spLocks noChangeArrowheads="1"/>
        </xdr:cNvSpPr>
      </xdr:nvSpPr>
      <xdr:spPr bwMode="auto">
        <a:xfrm>
          <a:off x="9029700" y="21710650"/>
          <a:ext cx="2044700" cy="317500"/>
        </a:xfrm>
        <a:prstGeom prst="rect">
          <a:avLst/>
        </a:prstGeom>
        <a:solidFill>
          <a:srgbClr val="99CCFF"/>
        </a:solidFill>
        <a:ln w="9360">
          <a:solidFill>
            <a:srgbClr val="000000"/>
          </a:solidFill>
          <a:miter lim="800000"/>
          <a:headEnd/>
          <a:tailEnd/>
        </a:ln>
        <a:effectLst/>
      </xdr:spPr>
      <xdr:txBody>
        <a:bodyPr vertOverflow="clip" wrap="square" lIns="36360" tIns="27360" rIns="36360" bIns="0" anchor="t"/>
        <a:lstStyle/>
        <a:p>
          <a:pPr algn="ctr" rtl="0">
            <a:defRPr sz="1000"/>
          </a:pPr>
          <a:r>
            <a:rPr lang="en-IN" sz="1400" b="1" i="0" u="none" strike="noStrike" baseline="0">
              <a:solidFill>
                <a:srgbClr val="000000"/>
              </a:solidFill>
              <a:latin typeface="Arial"/>
              <a:cs typeface="Arial"/>
            </a:rPr>
            <a:t>Standard Deviation</a:t>
          </a:r>
        </a:p>
      </xdr:txBody>
    </xdr:sp>
    <xdr:clientData/>
  </xdr:twoCellAnchor>
  <xdr:twoCellAnchor>
    <xdr:from>
      <xdr:col>13</xdr:col>
      <xdr:colOff>222250</xdr:colOff>
      <xdr:row>137</xdr:row>
      <xdr:rowOff>114300</xdr:rowOff>
    </xdr:from>
    <xdr:to>
      <xdr:col>16</xdr:col>
      <xdr:colOff>533400</xdr:colOff>
      <xdr:row>146</xdr:row>
      <xdr:rowOff>57150</xdr:rowOff>
    </xdr:to>
    <xdr:sp macro="" textlink="" fLocksText="0">
      <xdr:nvSpPr>
        <xdr:cNvPr id="4135" name="Text Box 39">
          <a:extLst>
            <a:ext uri="{FF2B5EF4-FFF2-40B4-BE49-F238E27FC236}">
              <a16:creationId xmlns:a16="http://schemas.microsoft.com/office/drawing/2014/main" id="{00000000-0008-0000-0300-000027100000}"/>
            </a:ext>
          </a:extLst>
        </xdr:cNvPr>
        <xdr:cNvSpPr txBox="1">
          <a:spLocks noChangeArrowheads="1"/>
        </xdr:cNvSpPr>
      </xdr:nvSpPr>
      <xdr:spPr bwMode="auto">
        <a:xfrm>
          <a:off x="8585200" y="22644100"/>
          <a:ext cx="2470150" cy="1403350"/>
        </a:xfrm>
        <a:prstGeom prst="rect">
          <a:avLst/>
        </a:prstGeom>
        <a:solidFill>
          <a:srgbClr val="99CCFF"/>
        </a:solidFill>
        <a:ln w="9360">
          <a:solidFill>
            <a:srgbClr val="000000"/>
          </a:solidFill>
          <a:miter lim="800000"/>
          <a:headEnd/>
          <a:tailEnd/>
        </a:ln>
        <a:effectLst/>
      </xdr:spPr>
      <xdr:txBody>
        <a:bodyPr vertOverflow="clip" wrap="square" lIns="27360" tIns="22680" rIns="0" bIns="0" anchor="t"/>
        <a:lstStyle/>
        <a:p>
          <a:pPr algn="l" rtl="0">
            <a:lnSpc>
              <a:spcPts val="1100"/>
            </a:lnSpc>
            <a:defRPr sz="1000"/>
          </a:pPr>
          <a:r>
            <a:rPr lang="en-IN" sz="1000" b="1" i="0" u="sng" strike="noStrike" baseline="0">
              <a:solidFill>
                <a:srgbClr val="000000"/>
              </a:solidFill>
              <a:latin typeface="Arial"/>
              <a:cs typeface="Arial"/>
            </a:rPr>
            <a:t>Sample Question:  </a:t>
          </a:r>
          <a:r>
            <a:rPr lang="en-IN" sz="1000" b="1" i="1" u="sng" strike="noStrike" baseline="0">
              <a:solidFill>
                <a:srgbClr val="000000"/>
              </a:solidFill>
              <a:latin typeface="Arial"/>
              <a:cs typeface="Arial"/>
            </a:rPr>
            <a:t>Standarad Deviation</a:t>
          </a:r>
        </a:p>
        <a:p>
          <a:pPr algn="l" rtl="0">
            <a:lnSpc>
              <a:spcPts val="1100"/>
            </a:lnSpc>
            <a:defRPr sz="1000"/>
          </a:pPr>
          <a:r>
            <a:rPr lang="en-IN" sz="1000" b="0" i="0" u="none" strike="noStrike" baseline="0">
              <a:solidFill>
                <a:srgbClr val="000000"/>
              </a:solidFill>
              <a:latin typeface="Arial"/>
              <a:cs typeface="Arial"/>
            </a:rPr>
            <a:t>Given the data in the table at right,  what is the sample standard deviation?  Please use at least 3 decimal places for all answers.</a:t>
          </a:r>
        </a:p>
        <a:p>
          <a:pPr algn="l" rtl="0">
            <a:lnSpc>
              <a:spcPts val="1000"/>
            </a:lnSpc>
            <a:defRPr sz="1000"/>
          </a:pPr>
          <a:endParaRPr lang="en-IN" sz="1000" b="0" i="0" u="none" strike="noStrike" baseline="0">
            <a:solidFill>
              <a:srgbClr val="000000"/>
            </a:solidFill>
            <a:latin typeface="Arial"/>
            <a:cs typeface="Arial"/>
          </a:endParaRPr>
        </a:p>
        <a:p>
          <a:pPr algn="l" rtl="0">
            <a:lnSpc>
              <a:spcPts val="900"/>
            </a:lnSpc>
            <a:defRPr sz="1000"/>
          </a:pPr>
          <a:r>
            <a:rPr lang="en-IN" sz="1000" b="1" i="0" u="sng" strike="noStrike" baseline="0">
              <a:solidFill>
                <a:srgbClr val="000000"/>
              </a:solidFill>
              <a:latin typeface="Arial"/>
              <a:cs typeface="Arial"/>
            </a:rPr>
            <a:t>ANSWER:  7.34853</a:t>
          </a:r>
        </a:p>
      </xdr:txBody>
    </xdr:sp>
    <xdr:clientData/>
  </xdr:twoCellAnchor>
  <xdr:twoCellAnchor>
    <xdr:from>
      <xdr:col>7</xdr:col>
      <xdr:colOff>558800</xdr:colOff>
      <xdr:row>150</xdr:row>
      <xdr:rowOff>139700</xdr:rowOff>
    </xdr:from>
    <xdr:to>
      <xdr:col>9</xdr:col>
      <xdr:colOff>133350</xdr:colOff>
      <xdr:row>152</xdr:row>
      <xdr:rowOff>6350</xdr:rowOff>
    </xdr:to>
    <xdr:sp macro="" textlink="" fLocksText="0">
      <xdr:nvSpPr>
        <xdr:cNvPr id="4136" name="Text Box 40">
          <a:extLst>
            <a:ext uri="{FF2B5EF4-FFF2-40B4-BE49-F238E27FC236}">
              <a16:creationId xmlns:a16="http://schemas.microsoft.com/office/drawing/2014/main" id="{00000000-0008-0000-0300-000028100000}"/>
            </a:ext>
          </a:extLst>
        </xdr:cNvPr>
        <xdr:cNvSpPr txBox="1">
          <a:spLocks noChangeArrowheads="1"/>
        </xdr:cNvSpPr>
      </xdr:nvSpPr>
      <xdr:spPr bwMode="auto">
        <a:xfrm>
          <a:off x="4826000" y="24784050"/>
          <a:ext cx="1231900" cy="190500"/>
        </a:xfrm>
        <a:prstGeom prst="rect">
          <a:avLst/>
        </a:prstGeom>
        <a:solidFill>
          <a:srgbClr val="99CCFF"/>
        </a:solidFill>
        <a:ln w="9360">
          <a:solidFill>
            <a:srgbClr val="000000"/>
          </a:solidFill>
          <a:miter lim="800000"/>
          <a:headEnd/>
          <a:tailEnd/>
        </a:ln>
        <a:effectLst/>
      </xdr:spPr>
      <xdr:txBody>
        <a:bodyPr vertOverflow="clip" wrap="square" lIns="27360" tIns="22680" rIns="0" bIns="0" anchor="t"/>
        <a:lstStyle/>
        <a:p>
          <a:pPr algn="l" rtl="0">
            <a:defRPr sz="1000"/>
          </a:pPr>
          <a:r>
            <a:rPr lang="en-IN" sz="1000" b="0" i="0" u="none" strike="noStrike" baseline="0">
              <a:solidFill>
                <a:srgbClr val="000000"/>
              </a:solidFill>
              <a:latin typeface="Arial"/>
              <a:cs typeface="Arial"/>
            </a:rPr>
            <a:t>Enter % numerically</a:t>
          </a:r>
        </a:p>
      </xdr:txBody>
    </xdr:sp>
    <xdr:clientData/>
  </xdr:twoCellAnchor>
  <xdr:twoCellAnchor>
    <xdr:from>
      <xdr:col>16</xdr:col>
      <xdr:colOff>12700</xdr:colOff>
      <xdr:row>27</xdr:row>
      <xdr:rowOff>82550</xdr:rowOff>
    </xdr:from>
    <xdr:to>
      <xdr:col>19</xdr:col>
      <xdr:colOff>381000</xdr:colOff>
      <xdr:row>28</xdr:row>
      <xdr:rowOff>76200</xdr:rowOff>
    </xdr:to>
    <xdr:sp macro="" textlink="" fLocksText="0">
      <xdr:nvSpPr>
        <xdr:cNvPr id="4137" name="Text Box 41">
          <a:extLst>
            <a:ext uri="{FF2B5EF4-FFF2-40B4-BE49-F238E27FC236}">
              <a16:creationId xmlns:a16="http://schemas.microsoft.com/office/drawing/2014/main" id="{00000000-0008-0000-0300-000029100000}"/>
            </a:ext>
          </a:extLst>
        </xdr:cNvPr>
        <xdr:cNvSpPr txBox="1">
          <a:spLocks noChangeArrowheads="1"/>
        </xdr:cNvSpPr>
      </xdr:nvSpPr>
      <xdr:spPr bwMode="auto">
        <a:xfrm>
          <a:off x="10534650" y="4737100"/>
          <a:ext cx="2197100" cy="152400"/>
        </a:xfrm>
        <a:prstGeom prst="rect">
          <a:avLst/>
        </a:prstGeom>
        <a:solidFill>
          <a:srgbClr val="99CCFF"/>
        </a:solidFill>
        <a:ln w="9360">
          <a:solidFill>
            <a:srgbClr val="000000"/>
          </a:solidFill>
          <a:miter lim="800000"/>
          <a:headEnd/>
          <a:tailEnd/>
        </a:ln>
        <a:effectLst/>
      </xdr:spPr>
      <xdr:txBody>
        <a:bodyPr vertOverflow="clip" wrap="square" lIns="27360" tIns="22680" rIns="27360" bIns="0" anchor="t"/>
        <a:lstStyle/>
        <a:p>
          <a:pPr algn="ctr" rtl="0">
            <a:defRPr sz="1000"/>
          </a:pPr>
          <a:r>
            <a:rPr lang="en-IN" sz="1000" b="0" i="0" u="none" strike="noStrike" baseline="0">
              <a:solidFill>
                <a:srgbClr val="000000"/>
              </a:solidFill>
              <a:latin typeface="Arial"/>
              <a:cs typeface="Arial"/>
            </a:rPr>
            <a:t>More examples at bottom of page.</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2</xdr:col>
      <xdr:colOff>31750</xdr:colOff>
      <xdr:row>15</xdr:row>
      <xdr:rowOff>6350</xdr:rowOff>
    </xdr:from>
    <xdr:to>
      <xdr:col>3</xdr:col>
      <xdr:colOff>107950</xdr:colOff>
      <xdr:row>17</xdr:row>
      <xdr:rowOff>114300</xdr:rowOff>
    </xdr:to>
    <xdr:sp macro="" textlink="">
      <xdr:nvSpPr>
        <xdr:cNvPr id="5129" name="AutoShape 1">
          <a:extLst>
            <a:ext uri="{FF2B5EF4-FFF2-40B4-BE49-F238E27FC236}">
              <a16:creationId xmlns:a16="http://schemas.microsoft.com/office/drawing/2014/main" id="{00000000-0008-0000-0400-000009140000}"/>
            </a:ext>
          </a:extLst>
        </xdr:cNvPr>
        <xdr:cNvSpPr>
          <a:spLocks/>
        </xdr:cNvSpPr>
      </xdr:nvSpPr>
      <xdr:spPr bwMode="auto">
        <a:xfrm>
          <a:off x="3911600" y="2908300"/>
          <a:ext cx="1041400" cy="495300"/>
        </a:xfrm>
        <a:custGeom>
          <a:avLst/>
          <a:gdLst>
            <a:gd name="T0" fmla="*/ 2147483646 w 96"/>
            <a:gd name="T1" fmla="*/ 2147483646 h 45"/>
            <a:gd name="T2" fmla="*/ 2147483646 w 96"/>
            <a:gd name="T3" fmla="*/ 121150380 h 45"/>
            <a:gd name="T4" fmla="*/ 0 w 96"/>
            <a:gd name="T5" fmla="*/ 2147483646 h 45"/>
            <a:gd name="T6" fmla="*/ 0 60000 65536"/>
            <a:gd name="T7" fmla="*/ 0 60000 65536"/>
            <a:gd name="T8" fmla="*/ 0 60000 65536"/>
            <a:gd name="T9" fmla="*/ 0 w 96"/>
            <a:gd name="T10" fmla="*/ 0 h 45"/>
            <a:gd name="T11" fmla="*/ 96 w 96"/>
            <a:gd name="T12" fmla="*/ 45 h 45"/>
          </a:gdLst>
          <a:ahLst/>
          <a:cxnLst>
            <a:cxn ang="T6">
              <a:pos x="T0" y="T1"/>
            </a:cxn>
            <a:cxn ang="T7">
              <a:pos x="T2" y="T3"/>
            </a:cxn>
            <a:cxn ang="T8">
              <a:pos x="T4" y="T5"/>
            </a:cxn>
          </a:cxnLst>
          <a:rect l="T9" t="T10" r="T11" b="T12"/>
          <a:pathLst>
            <a:path w="96" h="45">
              <a:moveTo>
                <a:pt x="96" y="41"/>
              </a:moveTo>
              <a:cubicBezTo>
                <a:pt x="75" y="20"/>
                <a:pt x="55" y="0"/>
                <a:pt x="39" y="1"/>
              </a:cubicBezTo>
              <a:cubicBezTo>
                <a:pt x="23" y="2"/>
                <a:pt x="6" y="38"/>
                <a:pt x="0" y="45"/>
              </a:cubicBezTo>
            </a:path>
          </a:pathLst>
        </a:custGeom>
        <a:noFill/>
        <a:ln w="9360">
          <a:solidFill>
            <a:srgbClr val="000000"/>
          </a:solidFill>
          <a:round/>
          <a:headEnd/>
          <a:tailEnd type="triangle" w="med" len="me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3</xdr:col>
      <xdr:colOff>50800</xdr:colOff>
      <xdr:row>23</xdr:row>
      <xdr:rowOff>31750</xdr:rowOff>
    </xdr:from>
    <xdr:to>
      <xdr:col>4</xdr:col>
      <xdr:colOff>279400</xdr:colOff>
      <xdr:row>55</xdr:row>
      <xdr:rowOff>0</xdr:rowOff>
    </xdr:to>
    <xdr:sp macro="" textlink="">
      <xdr:nvSpPr>
        <xdr:cNvPr id="5130" name="AutoShape 2">
          <a:extLst>
            <a:ext uri="{FF2B5EF4-FFF2-40B4-BE49-F238E27FC236}">
              <a16:creationId xmlns:a16="http://schemas.microsoft.com/office/drawing/2014/main" id="{00000000-0008-0000-0400-00000A140000}"/>
            </a:ext>
          </a:extLst>
        </xdr:cNvPr>
        <xdr:cNvSpPr>
          <a:spLocks/>
        </xdr:cNvSpPr>
      </xdr:nvSpPr>
      <xdr:spPr bwMode="auto">
        <a:xfrm>
          <a:off x="4895850" y="4305300"/>
          <a:ext cx="965200" cy="5067300"/>
        </a:xfrm>
        <a:custGeom>
          <a:avLst/>
          <a:gdLst>
            <a:gd name="T0" fmla="*/ 2147483646 w 92"/>
            <a:gd name="T1" fmla="*/ 0 h 560"/>
            <a:gd name="T2" fmla="*/ 2147483646 w 92"/>
            <a:gd name="T3" fmla="*/ 2147483646 h 560"/>
            <a:gd name="T4" fmla="*/ 0 w 92"/>
            <a:gd name="T5" fmla="*/ 2147483646 h 560"/>
            <a:gd name="T6" fmla="*/ 0 60000 65536"/>
            <a:gd name="T7" fmla="*/ 0 60000 65536"/>
            <a:gd name="T8" fmla="*/ 0 60000 65536"/>
            <a:gd name="T9" fmla="*/ 0 w 92"/>
            <a:gd name="T10" fmla="*/ 0 h 560"/>
            <a:gd name="T11" fmla="*/ 92 w 92"/>
            <a:gd name="T12" fmla="*/ 560 h 560"/>
          </a:gdLst>
          <a:ahLst/>
          <a:cxnLst>
            <a:cxn ang="T6">
              <a:pos x="T0" y="T1"/>
            </a:cxn>
            <a:cxn ang="T7">
              <a:pos x="T2" y="T3"/>
            </a:cxn>
            <a:cxn ang="T8">
              <a:pos x="T4" y="T5"/>
            </a:cxn>
          </a:cxnLst>
          <a:rect l="T9" t="T10" r="T11" b="T12"/>
          <a:pathLst>
            <a:path w="92" h="560">
              <a:moveTo>
                <a:pt x="92" y="0"/>
              </a:moveTo>
              <a:cubicBezTo>
                <a:pt x="92" y="157"/>
                <a:pt x="92" y="315"/>
                <a:pt x="77" y="408"/>
              </a:cubicBezTo>
              <a:cubicBezTo>
                <a:pt x="62" y="501"/>
                <a:pt x="13" y="535"/>
                <a:pt x="0" y="560"/>
              </a:cubicBezTo>
            </a:path>
          </a:pathLst>
        </a:custGeom>
        <a:noFill/>
        <a:ln w="9360">
          <a:solidFill>
            <a:srgbClr val="000000"/>
          </a:solidFill>
          <a:round/>
          <a:headEnd/>
          <a:tailEnd type="triangle" w="med" len="me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2</xdr:col>
      <xdr:colOff>107950</xdr:colOff>
      <xdr:row>16</xdr:row>
      <xdr:rowOff>196850</xdr:rowOff>
    </xdr:from>
    <xdr:to>
      <xdr:col>4</xdr:col>
      <xdr:colOff>603250</xdr:colOff>
      <xdr:row>23</xdr:row>
      <xdr:rowOff>152400</xdr:rowOff>
    </xdr:to>
    <xdr:sp macro="" textlink="" fLocksText="0">
      <xdr:nvSpPr>
        <xdr:cNvPr id="5123" name="Text Box 3">
          <a:extLst>
            <a:ext uri="{FF2B5EF4-FFF2-40B4-BE49-F238E27FC236}">
              <a16:creationId xmlns:a16="http://schemas.microsoft.com/office/drawing/2014/main" id="{00000000-0008-0000-0400-000003140000}"/>
            </a:ext>
          </a:extLst>
        </xdr:cNvPr>
        <xdr:cNvSpPr txBox="1">
          <a:spLocks noChangeArrowheads="1"/>
        </xdr:cNvSpPr>
      </xdr:nvSpPr>
      <xdr:spPr bwMode="auto">
        <a:xfrm>
          <a:off x="3987800" y="3257550"/>
          <a:ext cx="2197100" cy="1168400"/>
        </a:xfrm>
        <a:prstGeom prst="rect">
          <a:avLst/>
        </a:prstGeom>
        <a:solidFill>
          <a:srgbClr val="99CCFF"/>
        </a:solidFill>
        <a:ln w="9360">
          <a:solidFill>
            <a:srgbClr val="000000"/>
          </a:solidFill>
          <a:miter lim="800000"/>
          <a:headEnd/>
          <a:tailEnd/>
        </a:ln>
        <a:effectLst/>
      </xdr:spPr>
      <xdr:txBody>
        <a:bodyPr vertOverflow="clip" wrap="square" lIns="36360" tIns="22680" rIns="36360" bIns="22680" anchor="ctr"/>
        <a:lstStyle/>
        <a:p>
          <a:pPr algn="ctr" rtl="0">
            <a:defRPr sz="1000"/>
          </a:pPr>
          <a:r>
            <a:rPr lang="en-IN" sz="1200" b="0" i="0" u="none" strike="noStrike" baseline="0">
              <a:solidFill>
                <a:srgbClr val="000000"/>
              </a:solidFill>
              <a:latin typeface="Arial"/>
              <a:cs typeface="Arial"/>
            </a:rPr>
            <a:t>Must specify the range of data for X-Bar and MR-Bar each time you use this template or clear any formula's that are within specified range.</a:t>
          </a:r>
        </a:p>
      </xdr:txBody>
    </xdr:sp>
    <xdr:clientData/>
  </xdr:twoCellAnchor>
  <xdr:twoCellAnchor>
    <xdr:from>
      <xdr:col>5</xdr:col>
      <xdr:colOff>120650</xdr:colOff>
      <xdr:row>6</xdr:row>
      <xdr:rowOff>190500</xdr:rowOff>
    </xdr:from>
    <xdr:to>
      <xdr:col>5</xdr:col>
      <xdr:colOff>1263650</xdr:colOff>
      <xdr:row>23</xdr:row>
      <xdr:rowOff>76200</xdr:rowOff>
    </xdr:to>
    <xdr:sp macro="" textlink="">
      <xdr:nvSpPr>
        <xdr:cNvPr id="5132" name="AutoShape 4">
          <a:extLst>
            <a:ext uri="{FF2B5EF4-FFF2-40B4-BE49-F238E27FC236}">
              <a16:creationId xmlns:a16="http://schemas.microsoft.com/office/drawing/2014/main" id="{00000000-0008-0000-0400-00000C140000}"/>
            </a:ext>
          </a:extLst>
        </xdr:cNvPr>
        <xdr:cNvSpPr>
          <a:spLocks/>
        </xdr:cNvSpPr>
      </xdr:nvSpPr>
      <xdr:spPr bwMode="auto">
        <a:xfrm rot="20280000" flipH="1">
          <a:off x="6311900" y="1327150"/>
          <a:ext cx="1143000" cy="3022600"/>
        </a:xfrm>
        <a:custGeom>
          <a:avLst/>
          <a:gdLst>
            <a:gd name="T0" fmla="*/ 2147483646 w 53"/>
            <a:gd name="T1" fmla="*/ 2147483646 h 238"/>
            <a:gd name="T2" fmla="*/ 2147483646 w 53"/>
            <a:gd name="T3" fmla="*/ 2147483646 h 238"/>
            <a:gd name="T4" fmla="*/ 0 w 53"/>
            <a:gd name="T5" fmla="*/ 0 h 238"/>
            <a:gd name="T6" fmla="*/ 0 60000 65536"/>
            <a:gd name="T7" fmla="*/ 0 60000 65536"/>
            <a:gd name="T8" fmla="*/ 0 60000 65536"/>
            <a:gd name="T9" fmla="*/ 0 w 53"/>
            <a:gd name="T10" fmla="*/ 0 h 238"/>
            <a:gd name="T11" fmla="*/ 53 w 53"/>
            <a:gd name="T12" fmla="*/ 238 h 238"/>
          </a:gdLst>
          <a:ahLst/>
          <a:cxnLst>
            <a:cxn ang="T6">
              <a:pos x="T0" y="T1"/>
            </a:cxn>
            <a:cxn ang="T7">
              <a:pos x="T2" y="T3"/>
            </a:cxn>
            <a:cxn ang="T8">
              <a:pos x="T4" y="T5"/>
            </a:cxn>
          </a:cxnLst>
          <a:rect l="T9" t="T10" r="T11" b="T12"/>
          <a:pathLst>
            <a:path w="53" h="238">
              <a:moveTo>
                <a:pt x="27" y="238"/>
              </a:moveTo>
              <a:cubicBezTo>
                <a:pt x="40" y="182"/>
                <a:pt x="53" y="126"/>
                <a:pt x="49" y="86"/>
              </a:cubicBezTo>
              <a:cubicBezTo>
                <a:pt x="45" y="46"/>
                <a:pt x="8" y="14"/>
                <a:pt x="0" y="0"/>
              </a:cubicBezTo>
            </a:path>
          </a:pathLst>
        </a:custGeom>
        <a:noFill/>
        <a:ln w="9360">
          <a:solidFill>
            <a:srgbClr val="000000"/>
          </a:solidFill>
          <a:round/>
          <a:headEnd/>
          <a:tailEnd type="triangle" w="med" len="me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6</xdr:col>
      <xdr:colOff>177800</xdr:colOff>
      <xdr:row>22</xdr:row>
      <xdr:rowOff>57150</xdr:rowOff>
    </xdr:from>
    <xdr:to>
      <xdr:col>10</xdr:col>
      <xdr:colOff>488950</xdr:colOff>
      <xdr:row>53</xdr:row>
      <xdr:rowOff>50800</xdr:rowOff>
    </xdr:to>
    <xdr:sp macro="" textlink="">
      <xdr:nvSpPr>
        <xdr:cNvPr id="5133" name="AutoShape 5">
          <a:extLst>
            <a:ext uri="{FF2B5EF4-FFF2-40B4-BE49-F238E27FC236}">
              <a16:creationId xmlns:a16="http://schemas.microsoft.com/office/drawing/2014/main" id="{00000000-0008-0000-0400-00000D140000}"/>
            </a:ext>
          </a:extLst>
        </xdr:cNvPr>
        <xdr:cNvSpPr>
          <a:spLocks/>
        </xdr:cNvSpPr>
      </xdr:nvSpPr>
      <xdr:spPr bwMode="auto">
        <a:xfrm rot="7740000">
          <a:off x="7038975" y="5248275"/>
          <a:ext cx="4940300" cy="2774950"/>
        </a:xfrm>
        <a:custGeom>
          <a:avLst/>
          <a:gdLst>
            <a:gd name="T0" fmla="*/ 2147483646 w 53"/>
            <a:gd name="T1" fmla="*/ 2147483646 h 238"/>
            <a:gd name="T2" fmla="*/ 2147483646 w 53"/>
            <a:gd name="T3" fmla="*/ 2147483646 h 238"/>
            <a:gd name="T4" fmla="*/ 0 w 53"/>
            <a:gd name="T5" fmla="*/ 0 h 238"/>
            <a:gd name="T6" fmla="*/ 0 60000 65536"/>
            <a:gd name="T7" fmla="*/ 0 60000 65536"/>
            <a:gd name="T8" fmla="*/ 0 60000 65536"/>
            <a:gd name="T9" fmla="*/ 0 w 53"/>
            <a:gd name="T10" fmla="*/ 0 h 238"/>
            <a:gd name="T11" fmla="*/ 53 w 53"/>
            <a:gd name="T12" fmla="*/ 238 h 238"/>
          </a:gdLst>
          <a:ahLst/>
          <a:cxnLst>
            <a:cxn ang="T6">
              <a:pos x="T0" y="T1"/>
            </a:cxn>
            <a:cxn ang="T7">
              <a:pos x="T2" y="T3"/>
            </a:cxn>
            <a:cxn ang="T8">
              <a:pos x="T4" y="T5"/>
            </a:cxn>
          </a:cxnLst>
          <a:rect l="T9" t="T10" r="T11" b="T12"/>
          <a:pathLst>
            <a:path w="53" h="238">
              <a:moveTo>
                <a:pt x="27" y="238"/>
              </a:moveTo>
              <a:cubicBezTo>
                <a:pt x="40" y="182"/>
                <a:pt x="53" y="126"/>
                <a:pt x="49" y="86"/>
              </a:cubicBezTo>
              <a:cubicBezTo>
                <a:pt x="45" y="46"/>
                <a:pt x="8" y="14"/>
                <a:pt x="0" y="0"/>
              </a:cubicBezTo>
            </a:path>
          </a:pathLst>
        </a:custGeom>
        <a:noFill/>
        <a:ln w="9360">
          <a:solidFill>
            <a:srgbClr val="000000"/>
          </a:solidFill>
          <a:round/>
          <a:headEnd/>
          <a:tailEnd type="triangle" w="med" len="me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5</xdr:col>
      <xdr:colOff>330200</xdr:colOff>
      <xdr:row>22</xdr:row>
      <xdr:rowOff>69850</xdr:rowOff>
    </xdr:from>
    <xdr:to>
      <xdr:col>6</xdr:col>
      <xdr:colOff>508000</xdr:colOff>
      <xdr:row>30</xdr:row>
      <xdr:rowOff>139700</xdr:rowOff>
    </xdr:to>
    <xdr:sp macro="" textlink="" fLocksText="0">
      <xdr:nvSpPr>
        <xdr:cNvPr id="5126" name="Text Box 6">
          <a:extLst>
            <a:ext uri="{FF2B5EF4-FFF2-40B4-BE49-F238E27FC236}">
              <a16:creationId xmlns:a16="http://schemas.microsoft.com/office/drawing/2014/main" id="{00000000-0008-0000-0400-000006140000}"/>
            </a:ext>
          </a:extLst>
        </xdr:cNvPr>
        <xdr:cNvSpPr txBox="1">
          <a:spLocks noChangeArrowheads="1"/>
        </xdr:cNvSpPr>
      </xdr:nvSpPr>
      <xdr:spPr bwMode="auto">
        <a:xfrm>
          <a:off x="6521450" y="4178300"/>
          <a:ext cx="1930400" cy="1365250"/>
        </a:xfrm>
        <a:prstGeom prst="rect">
          <a:avLst/>
        </a:prstGeom>
        <a:solidFill>
          <a:srgbClr val="99CCFF"/>
        </a:solidFill>
        <a:ln w="9360">
          <a:solidFill>
            <a:srgbClr val="000000"/>
          </a:solidFill>
          <a:miter lim="800000"/>
          <a:headEnd/>
          <a:tailEnd/>
        </a:ln>
        <a:effectLst/>
      </xdr:spPr>
      <xdr:txBody>
        <a:bodyPr vertOverflow="clip" wrap="square" lIns="36360" tIns="22680" rIns="36360" bIns="22680" anchor="ctr"/>
        <a:lstStyle/>
        <a:p>
          <a:pPr algn="ctr" rtl="0">
            <a:defRPr sz="1000"/>
          </a:pPr>
          <a:r>
            <a:rPr lang="en-IN" sz="1200" b="0" i="0" u="none" strike="noStrike" baseline="0">
              <a:solidFill>
                <a:srgbClr val="000000"/>
              </a:solidFill>
              <a:latin typeface="Arial"/>
              <a:cs typeface="Arial"/>
            </a:rPr>
            <a:t>Must specify the range of data for X-Double Bar and R-Bar each time you use this template or clear any formula's that are within specified range.</a:t>
          </a:r>
        </a:p>
      </xdr:txBody>
    </xdr:sp>
    <xdr:clientData/>
  </xdr:twoCellAnchor>
  <xdr:twoCellAnchor>
    <xdr:from>
      <xdr:col>1</xdr:col>
      <xdr:colOff>647700</xdr:colOff>
      <xdr:row>4</xdr:row>
      <xdr:rowOff>120650</xdr:rowOff>
    </xdr:from>
    <xdr:to>
      <xdr:col>3</xdr:col>
      <xdr:colOff>628650</xdr:colOff>
      <xdr:row>5</xdr:row>
      <xdr:rowOff>50800</xdr:rowOff>
    </xdr:to>
    <xdr:sp macro="" textlink="" fLocksText="0">
      <xdr:nvSpPr>
        <xdr:cNvPr id="5127" name="Text Box 7">
          <a:extLst>
            <a:ext uri="{FF2B5EF4-FFF2-40B4-BE49-F238E27FC236}">
              <a16:creationId xmlns:a16="http://schemas.microsoft.com/office/drawing/2014/main" id="{00000000-0008-0000-0400-000007140000}"/>
            </a:ext>
          </a:extLst>
        </xdr:cNvPr>
        <xdr:cNvSpPr txBox="1">
          <a:spLocks noChangeArrowheads="1"/>
        </xdr:cNvSpPr>
      </xdr:nvSpPr>
      <xdr:spPr bwMode="auto">
        <a:xfrm>
          <a:off x="3670300" y="831850"/>
          <a:ext cx="1803400" cy="158750"/>
        </a:xfrm>
        <a:prstGeom prst="rect">
          <a:avLst/>
        </a:prstGeom>
        <a:solidFill>
          <a:srgbClr val="99CCFF"/>
        </a:solidFill>
        <a:ln w="9360">
          <a:solidFill>
            <a:srgbClr val="000000"/>
          </a:solidFill>
          <a:miter lim="800000"/>
          <a:headEnd/>
          <a:tailEnd/>
        </a:ln>
        <a:effectLst/>
      </xdr:spPr>
      <xdr:txBody>
        <a:bodyPr vertOverflow="clip" wrap="square" lIns="27360" tIns="22680" rIns="27360" bIns="0" anchor="t"/>
        <a:lstStyle/>
        <a:p>
          <a:pPr algn="ctr" rtl="0">
            <a:defRPr sz="1000"/>
          </a:pPr>
          <a:r>
            <a:rPr lang="en-IN" sz="1000" b="0" i="0" u="none" strike="noStrike" baseline="0">
              <a:solidFill>
                <a:srgbClr val="000000"/>
              </a:solidFill>
              <a:latin typeface="Arial"/>
              <a:cs typeface="Arial"/>
            </a:rPr>
            <a:t>Enter answer from data below</a:t>
          </a:r>
        </a:p>
      </xdr:txBody>
    </xdr:sp>
    <xdr:clientData/>
  </xdr:twoCellAnchor>
  <xdr:twoCellAnchor>
    <xdr:from>
      <xdr:col>5</xdr:col>
      <xdr:colOff>1022350</xdr:colOff>
      <xdr:row>16</xdr:row>
      <xdr:rowOff>101600</xdr:rowOff>
    </xdr:from>
    <xdr:to>
      <xdr:col>6</xdr:col>
      <xdr:colOff>533400</xdr:colOff>
      <xdr:row>18</xdr:row>
      <xdr:rowOff>146050</xdr:rowOff>
    </xdr:to>
    <xdr:sp macro="" textlink="" fLocksText="0">
      <xdr:nvSpPr>
        <xdr:cNvPr id="5128" name="Text Box 8">
          <a:extLst>
            <a:ext uri="{FF2B5EF4-FFF2-40B4-BE49-F238E27FC236}">
              <a16:creationId xmlns:a16="http://schemas.microsoft.com/office/drawing/2014/main" id="{00000000-0008-0000-0400-000008140000}"/>
            </a:ext>
          </a:extLst>
        </xdr:cNvPr>
        <xdr:cNvSpPr txBox="1">
          <a:spLocks noChangeArrowheads="1"/>
        </xdr:cNvSpPr>
      </xdr:nvSpPr>
      <xdr:spPr bwMode="auto">
        <a:xfrm>
          <a:off x="7213600" y="3162300"/>
          <a:ext cx="1263650" cy="438150"/>
        </a:xfrm>
        <a:prstGeom prst="rect">
          <a:avLst/>
        </a:prstGeom>
        <a:solidFill>
          <a:srgbClr val="99CCFF"/>
        </a:solidFill>
        <a:ln w="9360">
          <a:solidFill>
            <a:srgbClr val="000000"/>
          </a:solidFill>
          <a:miter lim="800000"/>
          <a:headEnd/>
          <a:tailEnd/>
        </a:ln>
        <a:effectLst/>
      </xdr:spPr>
      <xdr:txBody>
        <a:bodyPr vertOverflow="clip" wrap="square" lIns="27360" tIns="22680" rIns="0" bIns="0" anchor="t"/>
        <a:lstStyle/>
        <a:p>
          <a:pPr algn="l" rtl="0">
            <a:defRPr sz="1000"/>
          </a:pPr>
          <a:r>
            <a:rPr lang="en-IN" sz="1000" b="0" i="0" u="none" strike="noStrike" baseline="0">
              <a:solidFill>
                <a:srgbClr val="000000"/>
              </a:solidFill>
              <a:latin typeface="Arial"/>
              <a:cs typeface="Arial"/>
            </a:rPr>
            <a:t>Don't forget to enter Sample Size!</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330200</xdr:colOff>
      <xdr:row>17</xdr:row>
      <xdr:rowOff>38100</xdr:rowOff>
    </xdr:from>
    <xdr:to>
      <xdr:col>2</xdr:col>
      <xdr:colOff>419100</xdr:colOff>
      <xdr:row>24</xdr:row>
      <xdr:rowOff>57150</xdr:rowOff>
    </xdr:to>
    <xdr:sp macro="" textlink="" fLocksText="0">
      <xdr:nvSpPr>
        <xdr:cNvPr id="6145" name="Text Box 1">
          <a:extLst>
            <a:ext uri="{FF2B5EF4-FFF2-40B4-BE49-F238E27FC236}">
              <a16:creationId xmlns:a16="http://schemas.microsoft.com/office/drawing/2014/main" id="{00000000-0008-0000-0500-000001180000}"/>
            </a:ext>
          </a:extLst>
        </xdr:cNvPr>
        <xdr:cNvSpPr txBox="1">
          <a:spLocks noChangeArrowheads="1"/>
        </xdr:cNvSpPr>
      </xdr:nvSpPr>
      <xdr:spPr bwMode="auto">
        <a:xfrm>
          <a:off x="330200" y="3282950"/>
          <a:ext cx="2374900" cy="1130300"/>
        </a:xfrm>
        <a:prstGeom prst="rect">
          <a:avLst/>
        </a:prstGeom>
        <a:solidFill>
          <a:srgbClr val="99CCFF"/>
        </a:solidFill>
        <a:ln w="9360">
          <a:solidFill>
            <a:srgbClr val="000000"/>
          </a:solidFill>
          <a:miter lim="800000"/>
          <a:headEnd/>
          <a:tailEnd/>
        </a:ln>
        <a:effectLst/>
      </xdr:spPr>
      <xdr:txBody>
        <a:bodyPr vertOverflow="clip" wrap="square" lIns="36360" tIns="22680" rIns="36360" bIns="22680" anchor="ctr"/>
        <a:lstStyle/>
        <a:p>
          <a:pPr algn="ctr" rtl="0">
            <a:defRPr sz="1000"/>
          </a:pPr>
          <a:r>
            <a:rPr lang="en-IN" sz="1200" b="0" i="0" u="none" strike="noStrike" baseline="0">
              <a:solidFill>
                <a:srgbClr val="000000"/>
              </a:solidFill>
              <a:latin typeface="Arial"/>
              <a:cs typeface="Arial"/>
            </a:rPr>
            <a:t>Must specify the range of data for X-Double Bar and R-Bar each time you use this template or clear any formula's that are within specified range.</a:t>
          </a:r>
        </a:p>
      </xdr:txBody>
    </xdr:sp>
    <xdr:clientData/>
  </xdr:twoCellAnchor>
  <xdr:twoCellAnchor>
    <xdr:from>
      <xdr:col>1</xdr:col>
      <xdr:colOff>342900</xdr:colOff>
      <xdr:row>5</xdr:row>
      <xdr:rowOff>82550</xdr:rowOff>
    </xdr:from>
    <xdr:to>
      <xdr:col>2</xdr:col>
      <xdr:colOff>381000</xdr:colOff>
      <xdr:row>18</xdr:row>
      <xdr:rowOff>25400</xdr:rowOff>
    </xdr:to>
    <xdr:sp macro="" textlink="">
      <xdr:nvSpPr>
        <xdr:cNvPr id="6149" name="AutoShape 2">
          <a:extLst>
            <a:ext uri="{FF2B5EF4-FFF2-40B4-BE49-F238E27FC236}">
              <a16:creationId xmlns:a16="http://schemas.microsoft.com/office/drawing/2014/main" id="{00000000-0008-0000-0500-000005180000}"/>
            </a:ext>
          </a:extLst>
        </xdr:cNvPr>
        <xdr:cNvSpPr>
          <a:spLocks/>
        </xdr:cNvSpPr>
      </xdr:nvSpPr>
      <xdr:spPr bwMode="auto">
        <a:xfrm rot="720000">
          <a:off x="2019300" y="1117600"/>
          <a:ext cx="647700" cy="2311400"/>
        </a:xfrm>
        <a:custGeom>
          <a:avLst/>
          <a:gdLst>
            <a:gd name="T0" fmla="*/ 2147483646 w 53"/>
            <a:gd name="T1" fmla="*/ 2147483646 h 238"/>
            <a:gd name="T2" fmla="*/ 2147483646 w 53"/>
            <a:gd name="T3" fmla="*/ 2147483646 h 238"/>
            <a:gd name="T4" fmla="*/ 0 w 53"/>
            <a:gd name="T5" fmla="*/ 0 h 238"/>
            <a:gd name="T6" fmla="*/ 0 60000 65536"/>
            <a:gd name="T7" fmla="*/ 0 60000 65536"/>
            <a:gd name="T8" fmla="*/ 0 60000 65536"/>
            <a:gd name="T9" fmla="*/ 0 w 53"/>
            <a:gd name="T10" fmla="*/ 0 h 238"/>
            <a:gd name="T11" fmla="*/ 53 w 53"/>
            <a:gd name="T12" fmla="*/ 238 h 238"/>
          </a:gdLst>
          <a:ahLst/>
          <a:cxnLst>
            <a:cxn ang="T6">
              <a:pos x="T0" y="T1"/>
            </a:cxn>
            <a:cxn ang="T7">
              <a:pos x="T2" y="T3"/>
            </a:cxn>
            <a:cxn ang="T8">
              <a:pos x="T4" y="T5"/>
            </a:cxn>
          </a:cxnLst>
          <a:rect l="T9" t="T10" r="T11" b="T12"/>
          <a:pathLst>
            <a:path w="53" h="238">
              <a:moveTo>
                <a:pt x="27" y="238"/>
              </a:moveTo>
              <a:cubicBezTo>
                <a:pt x="40" y="182"/>
                <a:pt x="53" y="126"/>
                <a:pt x="49" y="86"/>
              </a:cubicBezTo>
              <a:cubicBezTo>
                <a:pt x="45" y="46"/>
                <a:pt x="8" y="14"/>
                <a:pt x="0" y="0"/>
              </a:cubicBezTo>
            </a:path>
          </a:pathLst>
        </a:custGeom>
        <a:noFill/>
        <a:ln w="9360">
          <a:solidFill>
            <a:srgbClr val="000000"/>
          </a:solidFill>
          <a:round/>
          <a:headEnd/>
          <a:tailEnd type="triangle" w="med" len="me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xdr:col>
      <xdr:colOff>508000</xdr:colOff>
      <xdr:row>20</xdr:row>
      <xdr:rowOff>63500</xdr:rowOff>
    </xdr:from>
    <xdr:to>
      <xdr:col>6</xdr:col>
      <xdr:colOff>558800</xdr:colOff>
      <xdr:row>54</xdr:row>
      <xdr:rowOff>38100</xdr:rowOff>
    </xdr:to>
    <xdr:sp macro="" textlink="">
      <xdr:nvSpPr>
        <xdr:cNvPr id="6150" name="AutoShape 3">
          <a:extLst>
            <a:ext uri="{FF2B5EF4-FFF2-40B4-BE49-F238E27FC236}">
              <a16:creationId xmlns:a16="http://schemas.microsoft.com/office/drawing/2014/main" id="{00000000-0008-0000-0500-000006180000}"/>
            </a:ext>
          </a:extLst>
        </xdr:cNvPr>
        <xdr:cNvSpPr>
          <a:spLocks/>
        </xdr:cNvSpPr>
      </xdr:nvSpPr>
      <xdr:spPr bwMode="auto">
        <a:xfrm rot="8520000">
          <a:off x="2184400" y="3784600"/>
          <a:ext cx="3841750" cy="5372100"/>
        </a:xfrm>
        <a:custGeom>
          <a:avLst/>
          <a:gdLst>
            <a:gd name="T0" fmla="*/ 2147483646 w 53"/>
            <a:gd name="T1" fmla="*/ 2147483646 h 238"/>
            <a:gd name="T2" fmla="*/ 2147483646 w 53"/>
            <a:gd name="T3" fmla="*/ 2147483646 h 238"/>
            <a:gd name="T4" fmla="*/ 0 w 53"/>
            <a:gd name="T5" fmla="*/ 0 h 238"/>
            <a:gd name="T6" fmla="*/ 0 60000 65536"/>
            <a:gd name="T7" fmla="*/ 0 60000 65536"/>
            <a:gd name="T8" fmla="*/ 0 60000 65536"/>
            <a:gd name="T9" fmla="*/ 0 w 53"/>
            <a:gd name="T10" fmla="*/ 0 h 238"/>
            <a:gd name="T11" fmla="*/ 53 w 53"/>
            <a:gd name="T12" fmla="*/ 238 h 238"/>
          </a:gdLst>
          <a:ahLst/>
          <a:cxnLst>
            <a:cxn ang="T6">
              <a:pos x="T0" y="T1"/>
            </a:cxn>
            <a:cxn ang="T7">
              <a:pos x="T2" y="T3"/>
            </a:cxn>
            <a:cxn ang="T8">
              <a:pos x="T4" y="T5"/>
            </a:cxn>
          </a:cxnLst>
          <a:rect l="T9" t="T10" r="T11" b="T12"/>
          <a:pathLst>
            <a:path w="53" h="238">
              <a:moveTo>
                <a:pt x="27" y="238"/>
              </a:moveTo>
              <a:cubicBezTo>
                <a:pt x="40" y="182"/>
                <a:pt x="53" y="126"/>
                <a:pt x="49" y="86"/>
              </a:cubicBezTo>
              <a:cubicBezTo>
                <a:pt x="45" y="46"/>
                <a:pt x="8" y="14"/>
                <a:pt x="0" y="0"/>
              </a:cubicBezTo>
            </a:path>
          </a:pathLst>
        </a:custGeom>
        <a:noFill/>
        <a:ln w="9360">
          <a:solidFill>
            <a:srgbClr val="000000"/>
          </a:solidFill>
          <a:round/>
          <a:headEnd/>
          <a:tailEnd type="triangle" w="med" len="me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wsDr>
</file>

<file path=xl/drawings/drawing7.xml><?xml version="1.0" encoding="utf-8"?>
<xdr:wsDr xmlns:xdr="http://schemas.openxmlformats.org/drawingml/2006/spreadsheetDrawing" xmlns:a="http://schemas.openxmlformats.org/drawingml/2006/main">
  <xdr:twoCellAnchor>
    <xdr:from>
      <xdr:col>2</xdr:col>
      <xdr:colOff>107950</xdr:colOff>
      <xdr:row>27</xdr:row>
      <xdr:rowOff>146050</xdr:rowOff>
    </xdr:from>
    <xdr:to>
      <xdr:col>4</xdr:col>
      <xdr:colOff>107950</xdr:colOff>
      <xdr:row>37</xdr:row>
      <xdr:rowOff>88900</xdr:rowOff>
    </xdr:to>
    <xdr:pic>
      <xdr:nvPicPr>
        <xdr:cNvPr id="7174" name="Picture 1">
          <a:extLst>
            <a:ext uri="{FF2B5EF4-FFF2-40B4-BE49-F238E27FC236}">
              <a16:creationId xmlns:a16="http://schemas.microsoft.com/office/drawing/2014/main" id="{00000000-0008-0000-0600-0000061C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79700" y="8686800"/>
          <a:ext cx="2482850" cy="156845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2</xdr:col>
      <xdr:colOff>69850</xdr:colOff>
      <xdr:row>49</xdr:row>
      <xdr:rowOff>38100</xdr:rowOff>
    </xdr:from>
    <xdr:to>
      <xdr:col>6</xdr:col>
      <xdr:colOff>558800</xdr:colOff>
      <xdr:row>56</xdr:row>
      <xdr:rowOff>19050</xdr:rowOff>
    </xdr:to>
    <xdr:pic>
      <xdr:nvPicPr>
        <xdr:cNvPr id="7175" name="Picture 2">
          <a:extLst>
            <a:ext uri="{FF2B5EF4-FFF2-40B4-BE49-F238E27FC236}">
              <a16:creationId xmlns:a16="http://schemas.microsoft.com/office/drawing/2014/main" id="{00000000-0008-0000-0600-0000071C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41600" y="12122150"/>
          <a:ext cx="4191000" cy="10922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2</xdr:col>
      <xdr:colOff>19050</xdr:colOff>
      <xdr:row>24</xdr:row>
      <xdr:rowOff>88900</xdr:rowOff>
    </xdr:from>
    <xdr:to>
      <xdr:col>3</xdr:col>
      <xdr:colOff>0</xdr:colOff>
      <xdr:row>24</xdr:row>
      <xdr:rowOff>88900</xdr:rowOff>
    </xdr:to>
    <xdr:sp macro="" textlink="">
      <xdr:nvSpPr>
        <xdr:cNvPr id="7176" name="Line 3">
          <a:extLst>
            <a:ext uri="{FF2B5EF4-FFF2-40B4-BE49-F238E27FC236}">
              <a16:creationId xmlns:a16="http://schemas.microsoft.com/office/drawing/2014/main" id="{00000000-0008-0000-0600-0000081C0000}"/>
            </a:ext>
          </a:extLst>
        </xdr:cNvPr>
        <xdr:cNvSpPr>
          <a:spLocks noChangeShapeType="1"/>
        </xdr:cNvSpPr>
      </xdr:nvSpPr>
      <xdr:spPr bwMode="auto">
        <a:xfrm flipH="1">
          <a:off x="2590800" y="8140700"/>
          <a:ext cx="596900" cy="0"/>
        </a:xfrm>
        <a:prstGeom prst="line">
          <a:avLst/>
        </a:prstGeom>
        <a:noFill/>
        <a:ln w="9360">
          <a:solidFill>
            <a:srgbClr val="000000"/>
          </a:solidFill>
          <a:miter lim="800000"/>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2</xdr:col>
      <xdr:colOff>38100</xdr:colOff>
      <xdr:row>23</xdr:row>
      <xdr:rowOff>76200</xdr:rowOff>
    </xdr:from>
    <xdr:to>
      <xdr:col>2</xdr:col>
      <xdr:colOff>234950</xdr:colOff>
      <xdr:row>23</xdr:row>
      <xdr:rowOff>76200</xdr:rowOff>
    </xdr:to>
    <xdr:sp macro="" textlink="">
      <xdr:nvSpPr>
        <xdr:cNvPr id="7177" name="Line 4">
          <a:extLst>
            <a:ext uri="{FF2B5EF4-FFF2-40B4-BE49-F238E27FC236}">
              <a16:creationId xmlns:a16="http://schemas.microsoft.com/office/drawing/2014/main" id="{00000000-0008-0000-0600-0000091C0000}"/>
            </a:ext>
          </a:extLst>
        </xdr:cNvPr>
        <xdr:cNvSpPr>
          <a:spLocks noChangeShapeType="1"/>
        </xdr:cNvSpPr>
      </xdr:nvSpPr>
      <xdr:spPr bwMode="auto">
        <a:xfrm flipH="1">
          <a:off x="2609850" y="7969250"/>
          <a:ext cx="196850" cy="0"/>
        </a:xfrm>
        <a:prstGeom prst="line">
          <a:avLst/>
        </a:prstGeom>
        <a:noFill/>
        <a:ln w="9360">
          <a:solidFill>
            <a:srgbClr val="000000"/>
          </a:solidFill>
          <a:miter lim="800000"/>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mc:AlternateContent xmlns:mc="http://schemas.openxmlformats.org/markup-compatibility/2006">
    <mc:Choice xmlns:a14="http://schemas.microsoft.com/office/drawing/2010/main" Requires="a14">
      <xdr:twoCellAnchor>
        <xdr:from>
          <xdr:col>5</xdr:col>
          <xdr:colOff>12700</xdr:colOff>
          <xdr:row>31</xdr:row>
          <xdr:rowOff>19050</xdr:rowOff>
        </xdr:from>
        <xdr:to>
          <xdr:col>9</xdr:col>
          <xdr:colOff>457200</xdr:colOff>
          <xdr:row>33</xdr:row>
          <xdr:rowOff>114300</xdr:rowOff>
        </xdr:to>
        <xdr:sp macro="" textlink="">
          <xdr:nvSpPr>
            <xdr:cNvPr id="7173" name="Object 5" hidden="1">
              <a:extLst>
                <a:ext uri="{63B3BB69-23CF-44E3-9099-C40C66FF867C}">
                  <a14:compatExt spid="_x0000_s7173"/>
                </a:ext>
                <a:ext uri="{FF2B5EF4-FFF2-40B4-BE49-F238E27FC236}">
                  <a16:creationId xmlns:a16="http://schemas.microsoft.com/office/drawing/2014/main" id="{00000000-0008-0000-0600-0000051C0000}"/>
                </a:ext>
              </a:extLst>
            </xdr:cNvPr>
            <xdr:cNvSpPr/>
          </xdr:nvSpPr>
          <xdr:spPr bwMode="auto">
            <a:xfrm>
              <a:off x="0" y="0"/>
              <a:ext cx="0" cy="0"/>
            </a:xfrm>
            <a:prstGeom prst="rect">
              <a:avLst/>
            </a:prstGeom>
            <a:blipFill dpi="0" rotWithShape="0">
              <a:blip xmlns:r="http://schemas.openxmlformats.org/officeDocument/2006/relationships"/>
              <a:srcRect/>
              <a:stretch>
                <a:fillRect/>
              </a:stretch>
            </a:blipFill>
            <a:ln w="9525">
              <a:solidFill>
                <a:srgbClr val="000000" mc:Ignorable="a14" a14:legacySpreadsheetColorIndex="64"/>
              </a:solidFill>
              <a:miter lim="800000"/>
              <a:headEnd/>
              <a:tailEnd/>
            </a:ln>
          </xdr:spPr>
        </xdr:sp>
        <xdr:clientData/>
      </xdr:twoCellAnchor>
    </mc:Choice>
    <mc:Fallback/>
  </mc:AlternateContent>
</xdr:wsDr>
</file>

<file path=xl/drawings/drawing8.xml><?xml version="1.0" encoding="utf-8"?>
<xdr:wsDr xmlns:xdr="http://schemas.openxmlformats.org/drawingml/2006/spreadsheetDrawing" xmlns:a="http://schemas.openxmlformats.org/drawingml/2006/main">
  <xdr:twoCellAnchor>
    <xdr:from>
      <xdr:col>0</xdr:col>
      <xdr:colOff>0</xdr:colOff>
      <xdr:row>35</xdr:row>
      <xdr:rowOff>0</xdr:rowOff>
    </xdr:from>
    <xdr:to>
      <xdr:col>3</xdr:col>
      <xdr:colOff>533400</xdr:colOff>
      <xdr:row>44</xdr:row>
      <xdr:rowOff>139700</xdr:rowOff>
    </xdr:to>
    <xdr:pic>
      <xdr:nvPicPr>
        <xdr:cNvPr id="8201" name="Picture 1">
          <a:extLst>
            <a:ext uri="{FF2B5EF4-FFF2-40B4-BE49-F238E27FC236}">
              <a16:creationId xmlns:a16="http://schemas.microsoft.com/office/drawing/2014/main" id="{00000000-0008-0000-0700-0000092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772150"/>
          <a:ext cx="2362200" cy="156845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0</xdr:col>
      <xdr:colOff>0</xdr:colOff>
      <xdr:row>59</xdr:row>
      <xdr:rowOff>0</xdr:rowOff>
    </xdr:from>
    <xdr:to>
      <xdr:col>6</xdr:col>
      <xdr:colOff>400050</xdr:colOff>
      <xdr:row>65</xdr:row>
      <xdr:rowOff>139700</xdr:rowOff>
    </xdr:to>
    <xdr:pic>
      <xdr:nvPicPr>
        <xdr:cNvPr id="8202" name="Picture 2">
          <a:extLst>
            <a:ext uri="{FF2B5EF4-FFF2-40B4-BE49-F238E27FC236}">
              <a16:creationId xmlns:a16="http://schemas.microsoft.com/office/drawing/2014/main" id="{00000000-0008-0000-0700-00000A2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9594850"/>
          <a:ext cx="4057650" cy="10922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9</xdr:col>
      <xdr:colOff>107950</xdr:colOff>
      <xdr:row>48</xdr:row>
      <xdr:rowOff>44450</xdr:rowOff>
    </xdr:from>
    <xdr:to>
      <xdr:col>9</xdr:col>
      <xdr:colOff>107950</xdr:colOff>
      <xdr:row>59</xdr:row>
      <xdr:rowOff>0</xdr:rowOff>
    </xdr:to>
    <xdr:sp macro="" textlink="">
      <xdr:nvSpPr>
        <xdr:cNvPr id="8203" name="Line 3">
          <a:extLst>
            <a:ext uri="{FF2B5EF4-FFF2-40B4-BE49-F238E27FC236}">
              <a16:creationId xmlns:a16="http://schemas.microsoft.com/office/drawing/2014/main" id="{00000000-0008-0000-0700-00000B200000}"/>
            </a:ext>
          </a:extLst>
        </xdr:cNvPr>
        <xdr:cNvSpPr>
          <a:spLocks noChangeShapeType="1"/>
        </xdr:cNvSpPr>
      </xdr:nvSpPr>
      <xdr:spPr bwMode="auto">
        <a:xfrm>
          <a:off x="5594350" y="7886700"/>
          <a:ext cx="0" cy="1708150"/>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9</xdr:col>
      <xdr:colOff>107950</xdr:colOff>
      <xdr:row>59</xdr:row>
      <xdr:rowOff>0</xdr:rowOff>
    </xdr:from>
    <xdr:to>
      <xdr:col>14</xdr:col>
      <xdr:colOff>38100</xdr:colOff>
      <xdr:row>59</xdr:row>
      <xdr:rowOff>0</xdr:rowOff>
    </xdr:to>
    <xdr:sp macro="" textlink="">
      <xdr:nvSpPr>
        <xdr:cNvPr id="8204" name="Line 4">
          <a:extLst>
            <a:ext uri="{FF2B5EF4-FFF2-40B4-BE49-F238E27FC236}">
              <a16:creationId xmlns:a16="http://schemas.microsoft.com/office/drawing/2014/main" id="{00000000-0008-0000-0700-00000C200000}"/>
            </a:ext>
          </a:extLst>
        </xdr:cNvPr>
        <xdr:cNvSpPr>
          <a:spLocks noChangeShapeType="1"/>
        </xdr:cNvSpPr>
      </xdr:nvSpPr>
      <xdr:spPr bwMode="auto">
        <a:xfrm>
          <a:off x="5594350" y="9594850"/>
          <a:ext cx="3238500" cy="0"/>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9</xdr:col>
      <xdr:colOff>311150</xdr:colOff>
      <xdr:row>49</xdr:row>
      <xdr:rowOff>82550</xdr:rowOff>
    </xdr:from>
    <xdr:to>
      <xdr:col>14</xdr:col>
      <xdr:colOff>355600</xdr:colOff>
      <xdr:row>58</xdr:row>
      <xdr:rowOff>6350</xdr:rowOff>
    </xdr:to>
    <xdr:sp macro="" textlink="">
      <xdr:nvSpPr>
        <xdr:cNvPr id="8205" name="AutoShape 5">
          <a:extLst>
            <a:ext uri="{FF2B5EF4-FFF2-40B4-BE49-F238E27FC236}">
              <a16:creationId xmlns:a16="http://schemas.microsoft.com/office/drawing/2014/main" id="{00000000-0008-0000-0700-00000D200000}"/>
            </a:ext>
          </a:extLst>
        </xdr:cNvPr>
        <xdr:cNvSpPr>
          <a:spLocks noChangeArrowheads="1"/>
        </xdr:cNvSpPr>
      </xdr:nvSpPr>
      <xdr:spPr bwMode="auto">
        <a:xfrm>
          <a:off x="5797550" y="8083550"/>
          <a:ext cx="3352800" cy="1358900"/>
        </a:xfrm>
        <a:custGeom>
          <a:avLst/>
          <a:gdLst>
            <a:gd name="T0" fmla="*/ 0 w 324"/>
            <a:gd name="T1" fmla="*/ 0 h 145"/>
            <a:gd name="T2" fmla="*/ 2147483646 w 324"/>
            <a:gd name="T3" fmla="*/ 2147483646 h 145"/>
            <a:gd name="T4" fmla="*/ 2147483646 w 324"/>
            <a:gd name="T5" fmla="*/ 2147483646 h 145"/>
            <a:gd name="T6" fmla="*/ 0 60000 65536"/>
            <a:gd name="T7" fmla="*/ 0 60000 65536"/>
            <a:gd name="T8" fmla="*/ 0 60000 65536"/>
            <a:gd name="T9" fmla="*/ 0 w 324"/>
            <a:gd name="T10" fmla="*/ 0 h 145"/>
            <a:gd name="T11" fmla="*/ 324 w 324"/>
            <a:gd name="T12" fmla="*/ 145 h 145"/>
          </a:gdLst>
          <a:ahLst/>
          <a:cxnLst>
            <a:cxn ang="T6">
              <a:pos x="T0" y="T1"/>
            </a:cxn>
            <a:cxn ang="T7">
              <a:pos x="T2" y="T3"/>
            </a:cxn>
            <a:cxn ang="T8">
              <a:pos x="T4" y="T5"/>
            </a:cxn>
          </a:cxnLst>
          <a:rect l="T9" t="T10" r="T11" b="T12"/>
          <a:pathLst>
            <a:path w="324" h="145">
              <a:moveTo>
                <a:pt x="0" y="0"/>
              </a:moveTo>
              <a:cubicBezTo>
                <a:pt x="17" y="27"/>
                <a:pt x="34" y="55"/>
                <a:pt x="88" y="79"/>
              </a:cubicBezTo>
              <a:cubicBezTo>
                <a:pt x="142" y="103"/>
                <a:pt x="286" y="134"/>
                <a:pt x="324" y="145"/>
              </a:cubicBezTo>
            </a:path>
          </a:pathLst>
        </a:custGeom>
        <a:noFill/>
        <a:ln w="9360">
          <a:solidFill>
            <a:srgbClr val="000000"/>
          </a:solidFill>
          <a:round/>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9</xdr:col>
      <xdr:colOff>285750</xdr:colOff>
      <xdr:row>48</xdr:row>
      <xdr:rowOff>95250</xdr:rowOff>
    </xdr:from>
    <xdr:to>
      <xdr:col>9</xdr:col>
      <xdr:colOff>285750</xdr:colOff>
      <xdr:row>60</xdr:row>
      <xdr:rowOff>82550</xdr:rowOff>
    </xdr:to>
    <xdr:sp macro="" textlink="">
      <xdr:nvSpPr>
        <xdr:cNvPr id="8206" name="Line 6">
          <a:extLst>
            <a:ext uri="{FF2B5EF4-FFF2-40B4-BE49-F238E27FC236}">
              <a16:creationId xmlns:a16="http://schemas.microsoft.com/office/drawing/2014/main" id="{00000000-0008-0000-0700-00000E200000}"/>
            </a:ext>
          </a:extLst>
        </xdr:cNvPr>
        <xdr:cNvSpPr>
          <a:spLocks noChangeShapeType="1"/>
        </xdr:cNvSpPr>
      </xdr:nvSpPr>
      <xdr:spPr bwMode="auto">
        <a:xfrm>
          <a:off x="5772150" y="7937500"/>
          <a:ext cx="0" cy="1898650"/>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13</xdr:col>
      <xdr:colOff>95250</xdr:colOff>
      <xdr:row>48</xdr:row>
      <xdr:rowOff>139700</xdr:rowOff>
    </xdr:from>
    <xdr:to>
      <xdr:col>13</xdr:col>
      <xdr:colOff>95250</xdr:colOff>
      <xdr:row>60</xdr:row>
      <xdr:rowOff>133350</xdr:rowOff>
    </xdr:to>
    <xdr:sp macro="" textlink="">
      <xdr:nvSpPr>
        <xdr:cNvPr id="8207" name="Line 7">
          <a:extLst>
            <a:ext uri="{FF2B5EF4-FFF2-40B4-BE49-F238E27FC236}">
              <a16:creationId xmlns:a16="http://schemas.microsoft.com/office/drawing/2014/main" id="{00000000-0008-0000-0700-00000F200000}"/>
            </a:ext>
          </a:extLst>
        </xdr:cNvPr>
        <xdr:cNvSpPr>
          <a:spLocks noChangeShapeType="1"/>
        </xdr:cNvSpPr>
      </xdr:nvSpPr>
      <xdr:spPr bwMode="auto">
        <a:xfrm>
          <a:off x="8280400" y="7981950"/>
          <a:ext cx="0" cy="1905000"/>
        </a:xfrm>
        <a:prstGeom prst="line">
          <a:avLst/>
        </a:prstGeom>
        <a:noFill/>
        <a:ln w="9360">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11</xdr:col>
      <xdr:colOff>590550</xdr:colOff>
      <xdr:row>17</xdr:row>
      <xdr:rowOff>114300</xdr:rowOff>
    </xdr:from>
    <xdr:to>
      <xdr:col>12</xdr:col>
      <xdr:colOff>31750</xdr:colOff>
      <xdr:row>18</xdr:row>
      <xdr:rowOff>63500</xdr:rowOff>
    </xdr:to>
    <xdr:sp macro="" textlink="">
      <xdr:nvSpPr>
        <xdr:cNvPr id="8208" name="AutoShape 8">
          <a:extLst>
            <a:ext uri="{FF2B5EF4-FFF2-40B4-BE49-F238E27FC236}">
              <a16:creationId xmlns:a16="http://schemas.microsoft.com/office/drawing/2014/main" id="{00000000-0008-0000-0700-000010200000}"/>
            </a:ext>
          </a:extLst>
        </xdr:cNvPr>
        <xdr:cNvSpPr>
          <a:spLocks noChangeArrowheads="1"/>
        </xdr:cNvSpPr>
      </xdr:nvSpPr>
      <xdr:spPr bwMode="auto">
        <a:xfrm>
          <a:off x="7556500" y="3028950"/>
          <a:ext cx="50800" cy="107950"/>
        </a:xfrm>
        <a:custGeom>
          <a:avLst/>
          <a:gdLst>
            <a:gd name="T0" fmla="*/ 193548000 w 5"/>
            <a:gd name="T1" fmla="*/ 0 h 12"/>
            <a:gd name="T2" fmla="*/ 0 w 5"/>
            <a:gd name="T3" fmla="*/ 1028223750 h 12"/>
            <a:gd name="T4" fmla="*/ 0 60000 65536"/>
            <a:gd name="T5" fmla="*/ 0 60000 65536"/>
            <a:gd name="T6" fmla="*/ 0 w 5"/>
            <a:gd name="T7" fmla="*/ 0 h 12"/>
            <a:gd name="T8" fmla="*/ 5 w 5"/>
            <a:gd name="T9" fmla="*/ 12 h 12"/>
          </a:gdLst>
          <a:ahLst/>
          <a:cxnLst>
            <a:cxn ang="T4">
              <a:pos x="T0" y="T1"/>
            </a:cxn>
            <a:cxn ang="T5">
              <a:pos x="T2" y="T3"/>
            </a:cxn>
          </a:cxnLst>
          <a:rect l="T6" t="T7" r="T8" b="T9"/>
          <a:pathLst>
            <a:path w="5" h="12">
              <a:moveTo>
                <a:pt x="2" y="0"/>
              </a:moveTo>
              <a:cubicBezTo>
                <a:pt x="3" y="3"/>
                <a:pt x="5" y="12"/>
                <a:pt x="0" y="12"/>
              </a:cubicBezTo>
            </a:path>
          </a:pathLst>
        </a:custGeom>
        <a:noFill/>
        <a:ln w="25560">
          <a:solidFill>
            <a:srgbClr val="000000"/>
          </a:solidFill>
          <a:round/>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wsDr>
</file>

<file path=xl/drawings/drawing9.xml><?xml version="1.0" encoding="utf-8"?>
<xdr:wsDr xmlns:xdr="http://schemas.openxmlformats.org/drawingml/2006/spreadsheetDrawing" xmlns:a="http://schemas.openxmlformats.org/drawingml/2006/main">
  <xdr:twoCellAnchor>
    <xdr:from>
      <xdr:col>11</xdr:col>
      <xdr:colOff>508000</xdr:colOff>
      <xdr:row>41</xdr:row>
      <xdr:rowOff>82550</xdr:rowOff>
    </xdr:from>
    <xdr:to>
      <xdr:col>12</xdr:col>
      <xdr:colOff>50800</xdr:colOff>
      <xdr:row>42</xdr:row>
      <xdr:rowOff>127000</xdr:rowOff>
    </xdr:to>
    <xdr:sp macro="" textlink="">
      <xdr:nvSpPr>
        <xdr:cNvPr id="11267" name="AutoShape 1">
          <a:extLst>
            <a:ext uri="{FF2B5EF4-FFF2-40B4-BE49-F238E27FC236}">
              <a16:creationId xmlns:a16="http://schemas.microsoft.com/office/drawing/2014/main" id="{00000000-0008-0000-0A00-0000032C0000}"/>
            </a:ext>
          </a:extLst>
        </xdr:cNvPr>
        <xdr:cNvSpPr>
          <a:spLocks/>
        </xdr:cNvSpPr>
      </xdr:nvSpPr>
      <xdr:spPr bwMode="auto">
        <a:xfrm>
          <a:off x="8420100" y="7562850"/>
          <a:ext cx="152400" cy="203200"/>
        </a:xfrm>
        <a:custGeom>
          <a:avLst/>
          <a:gdLst>
            <a:gd name="T0" fmla="*/ 1285852588 w 17"/>
            <a:gd name="T1" fmla="*/ 0 h 28"/>
            <a:gd name="T2" fmla="*/ 0 w 17"/>
            <a:gd name="T3" fmla="*/ 923304514 h 28"/>
            <a:gd name="T4" fmla="*/ 1366221176 w 17"/>
            <a:gd name="T5" fmla="*/ 1520734286 h 28"/>
            <a:gd name="T6" fmla="*/ 0 60000 65536"/>
            <a:gd name="T7" fmla="*/ 0 60000 65536"/>
            <a:gd name="T8" fmla="*/ 0 60000 65536"/>
            <a:gd name="T9" fmla="*/ 0 w 17"/>
            <a:gd name="T10" fmla="*/ 0 h 28"/>
            <a:gd name="T11" fmla="*/ 17 w 17"/>
            <a:gd name="T12" fmla="*/ 28 h 28"/>
          </a:gdLst>
          <a:ahLst/>
          <a:cxnLst>
            <a:cxn ang="T6">
              <a:pos x="T0" y="T1"/>
            </a:cxn>
            <a:cxn ang="T7">
              <a:pos x="T2" y="T3"/>
            </a:cxn>
            <a:cxn ang="T8">
              <a:pos x="T4" y="T5"/>
            </a:cxn>
          </a:cxnLst>
          <a:rect l="T9" t="T10" r="T11" b="T12"/>
          <a:pathLst>
            <a:path w="17" h="28">
              <a:moveTo>
                <a:pt x="16" y="0"/>
              </a:moveTo>
              <a:cubicBezTo>
                <a:pt x="8" y="6"/>
                <a:pt x="0" y="12"/>
                <a:pt x="0" y="17"/>
              </a:cubicBezTo>
              <a:cubicBezTo>
                <a:pt x="0" y="22"/>
                <a:pt x="8" y="25"/>
                <a:pt x="17" y="28"/>
              </a:cubicBezTo>
            </a:path>
          </a:pathLst>
        </a:custGeom>
        <a:noFill/>
        <a:ln w="9360">
          <a:solidFill>
            <a:srgbClr val="000000"/>
          </a:solidFill>
          <a:round/>
          <a:headEnd/>
          <a:tailEnd type="triangle" w="med" len="me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10</xdr:col>
      <xdr:colOff>476250</xdr:colOff>
      <xdr:row>43</xdr:row>
      <xdr:rowOff>107950</xdr:rowOff>
    </xdr:from>
    <xdr:to>
      <xdr:col>11</xdr:col>
      <xdr:colOff>38100</xdr:colOff>
      <xdr:row>48</xdr:row>
      <xdr:rowOff>6350</xdr:rowOff>
    </xdr:to>
    <xdr:sp macro="" textlink="">
      <xdr:nvSpPr>
        <xdr:cNvPr id="11268" name="AutoShape 2">
          <a:extLst>
            <a:ext uri="{FF2B5EF4-FFF2-40B4-BE49-F238E27FC236}">
              <a16:creationId xmlns:a16="http://schemas.microsoft.com/office/drawing/2014/main" id="{00000000-0008-0000-0A00-0000042C0000}"/>
            </a:ext>
          </a:extLst>
        </xdr:cNvPr>
        <xdr:cNvSpPr>
          <a:spLocks/>
        </xdr:cNvSpPr>
      </xdr:nvSpPr>
      <xdr:spPr bwMode="auto">
        <a:xfrm>
          <a:off x="7778750" y="7912100"/>
          <a:ext cx="171450" cy="704850"/>
        </a:xfrm>
        <a:custGeom>
          <a:avLst/>
          <a:gdLst>
            <a:gd name="T0" fmla="*/ 1049825089 w 28"/>
            <a:gd name="T1" fmla="*/ 2147483646 h 99"/>
            <a:gd name="T2" fmla="*/ 0 w 28"/>
            <a:gd name="T3" fmla="*/ 2147483646 h 99"/>
            <a:gd name="T4" fmla="*/ 1012332648 w 28"/>
            <a:gd name="T5" fmla="*/ 0 h 99"/>
            <a:gd name="T6" fmla="*/ 0 60000 65536"/>
            <a:gd name="T7" fmla="*/ 0 60000 65536"/>
            <a:gd name="T8" fmla="*/ 0 60000 65536"/>
            <a:gd name="T9" fmla="*/ 0 w 28"/>
            <a:gd name="T10" fmla="*/ 0 h 99"/>
            <a:gd name="T11" fmla="*/ 28 w 28"/>
            <a:gd name="T12" fmla="*/ 99 h 99"/>
          </a:gdLst>
          <a:ahLst/>
          <a:cxnLst>
            <a:cxn ang="T6">
              <a:pos x="T0" y="T1"/>
            </a:cxn>
            <a:cxn ang="T7">
              <a:pos x="T2" y="T3"/>
            </a:cxn>
            <a:cxn ang="T8">
              <a:pos x="T4" y="T5"/>
            </a:cxn>
          </a:cxnLst>
          <a:rect l="T9" t="T10" r="T11" b="T12"/>
          <a:pathLst>
            <a:path w="28" h="99">
              <a:moveTo>
                <a:pt x="28" y="99"/>
              </a:moveTo>
              <a:cubicBezTo>
                <a:pt x="14" y="80"/>
                <a:pt x="0" y="61"/>
                <a:pt x="0" y="45"/>
              </a:cubicBezTo>
              <a:cubicBezTo>
                <a:pt x="0" y="29"/>
                <a:pt x="13" y="14"/>
                <a:pt x="27" y="0"/>
              </a:cubicBezTo>
            </a:path>
          </a:pathLst>
        </a:custGeom>
        <a:noFill/>
        <a:ln w="9360">
          <a:solidFill>
            <a:srgbClr val="000000"/>
          </a:solidFill>
          <a:round/>
          <a:headEnd/>
          <a:tailEnd type="triangle" w="med" len="me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3" Type="http://schemas.openxmlformats.org/officeDocument/2006/relationships/oleObject" Target="../embeddings/oleObject1.bin"/><Relationship Id="rId2" Type="http://schemas.openxmlformats.org/officeDocument/2006/relationships/vmlDrawing" Target="../drawings/vmlDrawing1.vml"/><Relationship Id="rId1" Type="http://schemas.openxmlformats.org/officeDocument/2006/relationships/drawing" Target="../drawings/drawing7.xml"/><Relationship Id="rId4" Type="http://schemas.openxmlformats.org/officeDocument/2006/relationships/image" Target="../media/image1.emf"/></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74"/>
  <sheetViews>
    <sheetView showGridLines="0" zoomScale="85" zoomScaleNormal="85" workbookViewId="0">
      <selection activeCell="C3" sqref="C3"/>
    </sheetView>
  </sheetViews>
  <sheetFormatPr defaultRowHeight="12.5" x14ac:dyDescent="0.25"/>
  <cols>
    <col min="1" max="1" width="47" customWidth="1"/>
    <col min="2" max="2" width="14.08984375" customWidth="1"/>
    <col min="3" max="3" width="16.08984375" customWidth="1"/>
    <col min="4" max="4" width="17.08984375" customWidth="1"/>
    <col min="5" max="5" width="16.81640625" customWidth="1"/>
    <col min="6" max="6" width="12.7265625" customWidth="1"/>
    <col min="9" max="9" width="15.26953125" customWidth="1"/>
    <col min="10" max="10" width="10.7265625" customWidth="1"/>
    <col min="18" max="18" width="10.08984375" customWidth="1"/>
  </cols>
  <sheetData>
    <row r="1" spans="1:19" ht="17.5" x14ac:dyDescent="0.35">
      <c r="A1" s="1" t="s">
        <v>0</v>
      </c>
      <c r="D1" s="375" t="s">
        <v>1</v>
      </c>
      <c r="E1" s="375"/>
      <c r="F1" s="375"/>
    </row>
    <row r="2" spans="1:19" ht="14.25" customHeight="1" x14ac:dyDescent="0.3">
      <c r="A2" s="2" t="s">
        <v>2</v>
      </c>
      <c r="J2" s="3"/>
    </row>
    <row r="3" spans="1:19" x14ac:dyDescent="0.25">
      <c r="A3" s="4" t="s">
        <v>3</v>
      </c>
      <c r="O3" s="5"/>
      <c r="P3" s="5"/>
      <c r="Q3" s="5"/>
      <c r="R3" s="5"/>
    </row>
    <row r="4" spans="1:19" ht="15.5" x14ac:dyDescent="0.35">
      <c r="A4" s="6" t="s">
        <v>4</v>
      </c>
      <c r="B4" t="s">
        <v>5</v>
      </c>
      <c r="E4" s="376" t="s">
        <v>6</v>
      </c>
      <c r="F4" s="376"/>
      <c r="G4" s="376"/>
      <c r="H4" s="376"/>
      <c r="I4" s="376"/>
      <c r="J4" s="376"/>
      <c r="K4" s="376"/>
      <c r="P4" s="5"/>
      <c r="Q4" s="5"/>
      <c r="R4" s="5"/>
      <c r="S4" s="5"/>
    </row>
    <row r="5" spans="1:19" ht="14.25" customHeight="1" x14ac:dyDescent="0.25">
      <c r="C5" s="5"/>
      <c r="E5" s="377" t="s">
        <v>7</v>
      </c>
      <c r="F5" s="377" t="s">
        <v>8</v>
      </c>
      <c r="G5" s="377"/>
      <c r="H5" s="377" t="s">
        <v>9</v>
      </c>
      <c r="I5" s="377"/>
      <c r="J5" s="377" t="s">
        <v>10</v>
      </c>
      <c r="K5" s="377"/>
      <c r="P5" s="5"/>
      <c r="Q5" s="5"/>
      <c r="R5" s="5"/>
      <c r="S5" s="5"/>
    </row>
    <row r="6" spans="1:19" x14ac:dyDescent="0.25">
      <c r="A6" s="7" t="s">
        <v>11</v>
      </c>
      <c r="B6" s="8">
        <v>7</v>
      </c>
      <c r="C6" s="9"/>
      <c r="E6" s="377"/>
      <c r="F6" s="377"/>
      <c r="G6" s="377"/>
      <c r="H6" s="377"/>
      <c r="I6" s="377"/>
      <c r="J6" s="377"/>
      <c r="K6" s="377"/>
      <c r="P6" s="5"/>
      <c r="Q6" s="5"/>
      <c r="R6" s="5"/>
      <c r="S6" s="5"/>
    </row>
    <row r="7" spans="1:19" x14ac:dyDescent="0.25">
      <c r="A7" s="7" t="s">
        <v>12</v>
      </c>
      <c r="B7" s="8">
        <v>12</v>
      </c>
      <c r="C7" s="9"/>
      <c r="E7" s="377"/>
      <c r="F7" s="377"/>
      <c r="G7" s="377"/>
      <c r="H7" s="377"/>
      <c r="I7" s="377"/>
      <c r="J7" s="377"/>
      <c r="K7" s="377"/>
      <c r="P7" s="5"/>
      <c r="Q7" s="5"/>
      <c r="R7" s="5"/>
      <c r="S7" s="5"/>
    </row>
    <row r="8" spans="1:19" x14ac:dyDescent="0.25">
      <c r="A8" s="7" t="s">
        <v>13</v>
      </c>
      <c r="B8" s="8">
        <v>0.80200000000000005</v>
      </c>
      <c r="C8" s="9"/>
      <c r="E8" s="377"/>
      <c r="F8" s="377"/>
      <c r="G8" s="377"/>
      <c r="H8" s="377"/>
      <c r="I8" s="377"/>
      <c r="J8" s="377"/>
      <c r="K8" s="377"/>
      <c r="P8" s="5"/>
      <c r="Q8" s="5"/>
      <c r="R8" s="5"/>
      <c r="S8" s="5"/>
    </row>
    <row r="9" spans="1:19" ht="13" x14ac:dyDescent="0.3">
      <c r="A9" s="10" t="s">
        <v>14</v>
      </c>
      <c r="B9" s="11">
        <f>BINOMDIST(B6,B7,B8,0)</f>
        <v>5.1436535715982439E-2</v>
      </c>
      <c r="C9" s="12"/>
      <c r="E9" s="377"/>
      <c r="F9" s="377"/>
      <c r="G9" s="377"/>
      <c r="H9" s="377"/>
      <c r="I9" s="377"/>
      <c r="J9" s="377"/>
      <c r="K9" s="377"/>
      <c r="P9" s="5"/>
      <c r="Q9" s="5"/>
      <c r="R9" s="5"/>
      <c r="S9" s="5"/>
    </row>
    <row r="10" spans="1:19" ht="13" x14ac:dyDescent="0.3">
      <c r="A10" s="10" t="s">
        <v>15</v>
      </c>
      <c r="B10" s="11">
        <f>BINOMDIST(B6-1,B7,B8,1)</f>
        <v>1.8491320913286702E-2</v>
      </c>
      <c r="C10" s="12"/>
      <c r="E10" s="377"/>
      <c r="F10" s="377"/>
      <c r="G10" s="377"/>
      <c r="H10" s="377"/>
      <c r="I10" s="377"/>
      <c r="J10" s="377"/>
      <c r="K10" s="377"/>
      <c r="P10" s="5"/>
      <c r="Q10" s="5"/>
      <c r="R10" s="5"/>
      <c r="S10" s="5"/>
    </row>
    <row r="11" spans="1:19" ht="13" x14ac:dyDescent="0.3">
      <c r="A11" s="10" t="s">
        <v>16</v>
      </c>
      <c r="B11" s="11">
        <f>1-BINOMDIST(B6,B7,B8,1)</f>
        <v>0.93007214337073085</v>
      </c>
      <c r="C11" s="12"/>
      <c r="E11" s="377"/>
      <c r="F11" s="377"/>
      <c r="G11" s="377"/>
      <c r="H11" s="377"/>
      <c r="I11" s="377"/>
      <c r="J11" s="377"/>
      <c r="K11" s="377"/>
      <c r="P11" s="5"/>
      <c r="Q11" s="5"/>
      <c r="R11" s="5"/>
      <c r="S11" s="5"/>
    </row>
    <row r="12" spans="1:19" ht="13" x14ac:dyDescent="0.3">
      <c r="A12" s="10" t="s">
        <v>17</v>
      </c>
      <c r="B12" s="11">
        <f>BINOMDIST(B6,B7,B8,1)</f>
        <v>6.9927856629269092E-2</v>
      </c>
      <c r="C12" s="12"/>
      <c r="E12" s="377"/>
      <c r="F12" s="377"/>
      <c r="G12" s="377"/>
      <c r="H12" s="377"/>
      <c r="I12" s="377"/>
      <c r="J12" s="377"/>
      <c r="K12" s="377"/>
      <c r="P12" s="5"/>
      <c r="Q12" s="5"/>
      <c r="R12" s="5"/>
      <c r="S12" s="5"/>
    </row>
    <row r="13" spans="1:19" ht="13" x14ac:dyDescent="0.3">
      <c r="A13" s="10" t="s">
        <v>18</v>
      </c>
      <c r="B13" s="11">
        <f>1-BINOMDIST(B6-1,B7,B8,1)</f>
        <v>0.98150867908671335</v>
      </c>
      <c r="C13" s="12"/>
      <c r="E13" s="377"/>
      <c r="F13" s="377"/>
      <c r="G13" s="377"/>
      <c r="H13" s="377"/>
      <c r="I13" s="377"/>
      <c r="J13" s="377"/>
      <c r="K13" s="377"/>
      <c r="P13" s="5"/>
      <c r="Q13" s="5"/>
      <c r="R13" s="5"/>
      <c r="S13" s="5"/>
    </row>
    <row r="14" spans="1:19" ht="13" x14ac:dyDescent="0.3">
      <c r="A14" s="13" t="s">
        <v>19</v>
      </c>
      <c r="E14" s="377"/>
      <c r="F14" s="377"/>
      <c r="G14" s="377"/>
      <c r="H14" s="377"/>
      <c r="I14" s="377"/>
      <c r="J14" s="377"/>
      <c r="K14" s="377"/>
      <c r="P14" s="5"/>
      <c r="Q14" s="5"/>
      <c r="R14" s="5"/>
      <c r="S14" s="5"/>
    </row>
    <row r="15" spans="1:19" ht="13" x14ac:dyDescent="0.3">
      <c r="A15" s="14"/>
      <c r="E15" s="377"/>
      <c r="F15" s="377"/>
      <c r="G15" s="377"/>
      <c r="H15" s="377"/>
      <c r="I15" s="377"/>
      <c r="J15" s="377"/>
      <c r="K15" s="377"/>
    </row>
    <row r="16" spans="1:19" ht="15.5" x14ac:dyDescent="0.35">
      <c r="A16" s="6" t="s">
        <v>20</v>
      </c>
      <c r="B16" t="s">
        <v>21</v>
      </c>
      <c r="E16" s="377"/>
      <c r="F16" s="377"/>
      <c r="G16" s="377"/>
      <c r="H16" s="377"/>
      <c r="I16" s="377"/>
      <c r="J16" s="377"/>
      <c r="K16" s="377"/>
    </row>
    <row r="17" spans="1:14" ht="13" x14ac:dyDescent="0.3">
      <c r="E17" s="15" t="s">
        <v>22</v>
      </c>
      <c r="F17" s="373" t="s">
        <v>23</v>
      </c>
      <c r="G17" s="373"/>
      <c r="H17" s="374" t="s">
        <v>24</v>
      </c>
      <c r="I17" s="374"/>
      <c r="J17" s="374" t="s">
        <v>25</v>
      </c>
      <c r="K17" s="374"/>
      <c r="N17" s="16"/>
    </row>
    <row r="18" spans="1:14" x14ac:dyDescent="0.25">
      <c r="A18" s="7" t="s">
        <v>26</v>
      </c>
      <c r="B18" s="8">
        <v>7</v>
      </c>
      <c r="J18" s="16"/>
      <c r="M18" s="16"/>
    </row>
    <row r="19" spans="1:14" x14ac:dyDescent="0.25">
      <c r="A19" s="7" t="s">
        <v>27</v>
      </c>
      <c r="B19" s="8">
        <v>6.33</v>
      </c>
      <c r="J19" s="16"/>
      <c r="K19" s="17"/>
      <c r="M19" s="16"/>
      <c r="N19" s="17"/>
    </row>
    <row r="20" spans="1:14" ht="13" x14ac:dyDescent="0.3">
      <c r="A20" s="10" t="s">
        <v>14</v>
      </c>
      <c r="B20" s="18">
        <f>POISSON(B18,B19,0)</f>
        <v>0.14398304808427947</v>
      </c>
      <c r="D20" s="19" t="s">
        <v>28</v>
      </c>
      <c r="E20" s="19"/>
      <c r="F20" s="19"/>
      <c r="G20" s="19"/>
      <c r="H20" s="19"/>
      <c r="I20" s="19"/>
      <c r="J20" s="16"/>
      <c r="K20" s="20"/>
    </row>
    <row r="21" spans="1:14" ht="13" x14ac:dyDescent="0.3">
      <c r="A21" s="10" t="s">
        <v>15</v>
      </c>
      <c r="B21" s="18">
        <f>POISSON(B18-1,B19,1)</f>
        <v>0.55345280859091295</v>
      </c>
      <c r="D21" s="19" t="s">
        <v>29</v>
      </c>
      <c r="E21" s="19"/>
      <c r="F21" s="19"/>
      <c r="G21" s="19"/>
      <c r="H21" s="19"/>
      <c r="I21" s="19"/>
    </row>
    <row r="22" spans="1:14" ht="13" x14ac:dyDescent="0.3">
      <c r="A22" s="10" t="s">
        <v>16</v>
      </c>
      <c r="B22" s="18">
        <f>1-POISSON(B18,B19,1)</f>
        <v>0.30256414332480763</v>
      </c>
      <c r="D22" s="19"/>
      <c r="E22" s="19"/>
      <c r="F22" s="19"/>
      <c r="G22" s="19"/>
      <c r="H22" s="19"/>
      <c r="I22" s="19"/>
    </row>
    <row r="23" spans="1:14" ht="13" x14ac:dyDescent="0.3">
      <c r="A23" s="10" t="s">
        <v>17</v>
      </c>
      <c r="B23" s="18">
        <f>POISSON(B18,B19,1)</f>
        <v>0.69743585667519237</v>
      </c>
      <c r="D23" s="19" t="s">
        <v>30</v>
      </c>
      <c r="E23" s="19"/>
      <c r="F23" s="19"/>
      <c r="G23" s="19"/>
      <c r="H23" s="19"/>
      <c r="I23" s="19"/>
    </row>
    <row r="24" spans="1:14" ht="13" x14ac:dyDescent="0.3">
      <c r="A24" s="10" t="s">
        <v>18</v>
      </c>
      <c r="B24" s="18">
        <f>1-POISSON(B18-1,B19,1)</f>
        <v>0.44654719140908705</v>
      </c>
      <c r="D24" s="19"/>
      <c r="E24" s="19"/>
      <c r="F24" s="19"/>
      <c r="G24" s="19"/>
      <c r="H24" s="19"/>
      <c r="I24" s="19"/>
    </row>
    <row r="25" spans="1:14" ht="13" x14ac:dyDescent="0.3">
      <c r="A25" s="14"/>
      <c r="D25" s="19" t="s">
        <v>31</v>
      </c>
      <c r="E25" s="19"/>
      <c r="F25" s="19"/>
      <c r="G25" s="19"/>
      <c r="H25" s="19"/>
      <c r="I25" s="19"/>
    </row>
    <row r="26" spans="1:14" ht="13" x14ac:dyDescent="0.3">
      <c r="A26" s="14"/>
      <c r="D26" s="19"/>
      <c r="E26" s="19"/>
      <c r="F26" s="19"/>
      <c r="G26" s="19"/>
      <c r="H26" s="19"/>
      <c r="I26" s="19"/>
    </row>
    <row r="27" spans="1:14" ht="15.5" x14ac:dyDescent="0.35">
      <c r="A27" s="6" t="s">
        <v>32</v>
      </c>
      <c r="B27" t="s">
        <v>33</v>
      </c>
      <c r="D27" s="19" t="s">
        <v>34</v>
      </c>
      <c r="E27" s="19"/>
      <c r="F27" s="19"/>
      <c r="G27" s="19"/>
      <c r="H27" s="19"/>
      <c r="I27" s="19"/>
    </row>
    <row r="28" spans="1:14" x14ac:dyDescent="0.25">
      <c r="D28" s="19"/>
      <c r="E28" s="19"/>
      <c r="F28" s="19"/>
      <c r="G28" s="19"/>
      <c r="H28" s="19"/>
      <c r="I28" s="19"/>
    </row>
    <row r="29" spans="1:14" x14ac:dyDescent="0.25">
      <c r="A29" s="7" t="s">
        <v>35</v>
      </c>
      <c r="B29" s="8">
        <v>0.59199999999999997</v>
      </c>
      <c r="D29" s="19" t="s">
        <v>36</v>
      </c>
      <c r="E29" s="19"/>
      <c r="F29" s="19"/>
      <c r="G29" s="19"/>
      <c r="H29" s="19"/>
      <c r="I29" s="19"/>
    </row>
    <row r="30" spans="1:14" x14ac:dyDescent="0.25">
      <c r="A30" s="7" t="s">
        <v>37</v>
      </c>
      <c r="B30" s="8">
        <v>6</v>
      </c>
    </row>
    <row r="31" spans="1:14" ht="13" x14ac:dyDescent="0.3">
      <c r="B31" s="21">
        <f>B29*((1-B29)^(B30-1))</f>
        <v>6.6930261554626587E-3</v>
      </c>
      <c r="C31" s="22" t="s">
        <v>38</v>
      </c>
    </row>
    <row r="32" spans="1:14" ht="13" x14ac:dyDescent="0.3">
      <c r="B32" s="21">
        <f>(1-B29)^B30</f>
        <v>4.6127612693053462E-3</v>
      </c>
      <c r="C32" s="23" t="s">
        <v>39</v>
      </c>
    </row>
    <row r="33" spans="1:10" ht="13" x14ac:dyDescent="0.3">
      <c r="B33" s="24">
        <f>1-(1-B29)^(B30-1)</f>
        <v>0.98869421257523205</v>
      </c>
      <c r="C33" s="23" t="s">
        <v>40</v>
      </c>
      <c r="J33" s="3"/>
    </row>
    <row r="34" spans="1:10" ht="13" x14ac:dyDescent="0.3">
      <c r="B34" s="24">
        <f>B31+B32</f>
        <v>1.1305787424768005E-2</v>
      </c>
      <c r="C34" t="s">
        <v>41</v>
      </c>
    </row>
    <row r="35" spans="1:10" ht="13" x14ac:dyDescent="0.3">
      <c r="B35" s="24">
        <f>B33+B31</f>
        <v>0.99538723873069468</v>
      </c>
      <c r="C35" t="s">
        <v>42</v>
      </c>
    </row>
    <row r="37" spans="1:10" ht="15.5" x14ac:dyDescent="0.35">
      <c r="A37" s="6" t="s">
        <v>43</v>
      </c>
      <c r="B37" t="s">
        <v>44</v>
      </c>
    </row>
    <row r="38" spans="1:10" x14ac:dyDescent="0.25">
      <c r="A38" s="25" t="s">
        <v>45</v>
      </c>
      <c r="F38" s="3"/>
    </row>
    <row r="39" spans="1:10" x14ac:dyDescent="0.25">
      <c r="A39" s="7" t="s">
        <v>11</v>
      </c>
      <c r="B39" s="8">
        <v>1</v>
      </c>
    </row>
    <row r="40" spans="1:10" x14ac:dyDescent="0.25">
      <c r="A40" s="7" t="s">
        <v>46</v>
      </c>
      <c r="B40" s="8">
        <v>2</v>
      </c>
    </row>
    <row r="41" spans="1:10" x14ac:dyDescent="0.25">
      <c r="A41" s="7" t="s">
        <v>47</v>
      </c>
      <c r="B41" s="8">
        <v>8</v>
      </c>
      <c r="D41" s="5"/>
      <c r="E41" s="5"/>
      <c r="F41" s="5"/>
      <c r="G41" s="5"/>
      <c r="H41" s="5"/>
      <c r="I41" s="5"/>
      <c r="J41" s="5"/>
    </row>
    <row r="42" spans="1:10" x14ac:dyDescent="0.25">
      <c r="A42" s="7" t="s">
        <v>48</v>
      </c>
      <c r="B42" s="8">
        <v>3</v>
      </c>
      <c r="D42" s="5"/>
      <c r="E42" s="5"/>
      <c r="F42" s="5"/>
      <c r="G42" s="5"/>
      <c r="H42" s="5"/>
      <c r="I42" s="5"/>
      <c r="J42" s="5"/>
    </row>
    <row r="43" spans="1:10" ht="13" x14ac:dyDescent="0.3">
      <c r="A43" s="10" t="s">
        <v>14</v>
      </c>
      <c r="B43" s="18">
        <f>HYPGEOMDIST(B39,B40,B42,B41)</f>
        <v>0.5357142857142857</v>
      </c>
    </row>
    <row r="45" spans="1:10" ht="42.75" customHeight="1" x14ac:dyDescent="0.25">
      <c r="B45" s="26" t="s">
        <v>49</v>
      </c>
      <c r="C45" s="27" t="s">
        <v>50</v>
      </c>
      <c r="D45" s="27" t="s">
        <v>51</v>
      </c>
      <c r="G45" t="s">
        <v>52</v>
      </c>
    </row>
    <row r="46" spans="1:10" x14ac:dyDescent="0.25">
      <c r="A46" s="28" t="s">
        <v>53</v>
      </c>
      <c r="B46" s="29">
        <v>0</v>
      </c>
      <c r="C46" s="30">
        <f>HYPGEOMDIST(B46,$B$40,$B$42,$B$41)</f>
        <v>0.3571428571428571</v>
      </c>
      <c r="D46" s="30">
        <f>1-C46</f>
        <v>0.6428571428571429</v>
      </c>
    </row>
    <row r="47" spans="1:10" x14ac:dyDescent="0.25">
      <c r="A47" s="28" t="s">
        <v>54</v>
      </c>
      <c r="B47" s="29">
        <v>1</v>
      </c>
      <c r="C47" s="30">
        <f>C46+HYPGEOMDIST(B47,$B$40,$B$42,$B$41)</f>
        <v>0.89285714285714279</v>
      </c>
      <c r="D47" s="30">
        <f>1-C47</f>
        <v>0.10714285714285721</v>
      </c>
    </row>
    <row r="48" spans="1:10" x14ac:dyDescent="0.25">
      <c r="A48" s="19" t="s">
        <v>55</v>
      </c>
      <c r="B48" s="29">
        <v>2</v>
      </c>
      <c r="C48" s="30">
        <f t="shared" ref="C48:C74" si="0">C47+HYPGEOMDIST(B48,$B$40,$B$42,$B$41)</f>
        <v>1</v>
      </c>
      <c r="D48" s="30">
        <f t="shared" ref="D48:D74" si="1">1-C48</f>
        <v>0</v>
      </c>
      <c r="I48" s="3"/>
    </row>
    <row r="49" spans="1:4" x14ac:dyDescent="0.25">
      <c r="A49" s="28" t="s">
        <v>56</v>
      </c>
      <c r="B49" s="29">
        <v>3</v>
      </c>
      <c r="C49" s="30">
        <f t="shared" si="0"/>
        <v>1</v>
      </c>
      <c r="D49" s="30">
        <f t="shared" si="1"/>
        <v>0</v>
      </c>
    </row>
    <row r="50" spans="1:4" x14ac:dyDescent="0.25">
      <c r="A50" s="25"/>
      <c r="B50" s="29">
        <v>4</v>
      </c>
      <c r="C50" s="30">
        <f t="shared" si="0"/>
        <v>1</v>
      </c>
      <c r="D50" s="30">
        <f>1-C50</f>
        <v>0</v>
      </c>
    </row>
    <row r="51" spans="1:4" x14ac:dyDescent="0.25">
      <c r="A51" s="25"/>
      <c r="B51" s="29">
        <v>5</v>
      </c>
      <c r="C51" s="30">
        <f t="shared" si="0"/>
        <v>1</v>
      </c>
      <c r="D51" s="30">
        <f t="shared" si="1"/>
        <v>0</v>
      </c>
    </row>
    <row r="52" spans="1:4" x14ac:dyDescent="0.25">
      <c r="B52" s="29">
        <v>6</v>
      </c>
      <c r="C52" s="30">
        <f t="shared" si="0"/>
        <v>1</v>
      </c>
      <c r="D52" s="30">
        <f t="shared" si="1"/>
        <v>0</v>
      </c>
    </row>
    <row r="53" spans="1:4" x14ac:dyDescent="0.25">
      <c r="B53" s="29">
        <v>7</v>
      </c>
      <c r="C53" s="30">
        <f t="shared" si="0"/>
        <v>1</v>
      </c>
      <c r="D53" s="30">
        <f t="shared" si="1"/>
        <v>0</v>
      </c>
    </row>
    <row r="54" spans="1:4" x14ac:dyDescent="0.25">
      <c r="B54" s="29">
        <v>8</v>
      </c>
      <c r="C54" s="30">
        <f t="shared" si="0"/>
        <v>1</v>
      </c>
      <c r="D54" s="30">
        <f t="shared" si="1"/>
        <v>0</v>
      </c>
    </row>
    <row r="55" spans="1:4" x14ac:dyDescent="0.25">
      <c r="B55" s="29">
        <v>9</v>
      </c>
      <c r="C55" s="30">
        <f t="shared" si="0"/>
        <v>1</v>
      </c>
      <c r="D55" s="30">
        <f t="shared" si="1"/>
        <v>0</v>
      </c>
    </row>
    <row r="56" spans="1:4" x14ac:dyDescent="0.25">
      <c r="B56" s="29">
        <v>10</v>
      </c>
      <c r="C56" s="30">
        <f t="shared" si="0"/>
        <v>1</v>
      </c>
      <c r="D56" s="30">
        <f t="shared" si="1"/>
        <v>0</v>
      </c>
    </row>
    <row r="57" spans="1:4" x14ac:dyDescent="0.25">
      <c r="B57" s="29">
        <v>11</v>
      </c>
      <c r="C57" s="30">
        <f t="shared" si="0"/>
        <v>1</v>
      </c>
      <c r="D57" s="30">
        <f t="shared" si="1"/>
        <v>0</v>
      </c>
    </row>
    <row r="58" spans="1:4" x14ac:dyDescent="0.25">
      <c r="B58" s="29">
        <v>12</v>
      </c>
      <c r="C58" s="30">
        <f t="shared" si="0"/>
        <v>1</v>
      </c>
      <c r="D58" s="30">
        <f t="shared" si="1"/>
        <v>0</v>
      </c>
    </row>
    <row r="59" spans="1:4" x14ac:dyDescent="0.25">
      <c r="B59" s="29">
        <v>13</v>
      </c>
      <c r="C59" s="30">
        <f t="shared" si="0"/>
        <v>1</v>
      </c>
      <c r="D59" s="30">
        <f t="shared" si="1"/>
        <v>0</v>
      </c>
    </row>
    <row r="60" spans="1:4" x14ac:dyDescent="0.25">
      <c r="B60" s="29">
        <v>14</v>
      </c>
      <c r="C60" s="30">
        <f t="shared" si="0"/>
        <v>1</v>
      </c>
      <c r="D60" s="30">
        <f t="shared" si="1"/>
        <v>0</v>
      </c>
    </row>
    <row r="61" spans="1:4" x14ac:dyDescent="0.25">
      <c r="B61" s="29">
        <v>15</v>
      </c>
      <c r="C61" s="30">
        <f t="shared" si="0"/>
        <v>1</v>
      </c>
      <c r="D61" s="30">
        <f t="shared" si="1"/>
        <v>0</v>
      </c>
    </row>
    <row r="62" spans="1:4" x14ac:dyDescent="0.25">
      <c r="B62" s="29">
        <v>16</v>
      </c>
      <c r="C62" s="30">
        <f t="shared" si="0"/>
        <v>1</v>
      </c>
      <c r="D62" s="30">
        <f t="shared" si="1"/>
        <v>0</v>
      </c>
    </row>
    <row r="63" spans="1:4" x14ac:dyDescent="0.25">
      <c r="B63" s="29">
        <v>17</v>
      </c>
      <c r="C63" s="30">
        <f t="shared" si="0"/>
        <v>1</v>
      </c>
      <c r="D63" s="30">
        <f t="shared" si="1"/>
        <v>0</v>
      </c>
    </row>
    <row r="64" spans="1:4" x14ac:dyDescent="0.25">
      <c r="B64" s="29">
        <v>18</v>
      </c>
      <c r="C64" s="30">
        <f t="shared" si="0"/>
        <v>1</v>
      </c>
      <c r="D64" s="30">
        <f t="shared" si="1"/>
        <v>0</v>
      </c>
    </row>
    <row r="65" spans="2:4" x14ac:dyDescent="0.25">
      <c r="B65" s="29">
        <v>19</v>
      </c>
      <c r="C65" s="30">
        <f t="shared" si="0"/>
        <v>1</v>
      </c>
      <c r="D65" s="30">
        <f t="shared" si="1"/>
        <v>0</v>
      </c>
    </row>
    <row r="66" spans="2:4" x14ac:dyDescent="0.25">
      <c r="B66" s="29">
        <v>20</v>
      </c>
      <c r="C66" s="30">
        <f t="shared" si="0"/>
        <v>1</v>
      </c>
      <c r="D66" s="30">
        <f t="shared" si="1"/>
        <v>0</v>
      </c>
    </row>
    <row r="67" spans="2:4" x14ac:dyDescent="0.25">
      <c r="B67" s="29">
        <v>21</v>
      </c>
      <c r="C67" s="30">
        <f t="shared" si="0"/>
        <v>1</v>
      </c>
      <c r="D67" s="30">
        <f t="shared" si="1"/>
        <v>0</v>
      </c>
    </row>
    <row r="68" spans="2:4" x14ac:dyDescent="0.25">
      <c r="B68" s="29">
        <v>22</v>
      </c>
      <c r="C68" s="30">
        <f t="shared" si="0"/>
        <v>1</v>
      </c>
      <c r="D68" s="30">
        <f t="shared" si="1"/>
        <v>0</v>
      </c>
    </row>
    <row r="69" spans="2:4" x14ac:dyDescent="0.25">
      <c r="B69" s="29">
        <v>23</v>
      </c>
      <c r="C69" s="30">
        <f t="shared" si="0"/>
        <v>1</v>
      </c>
      <c r="D69" s="30">
        <f t="shared" si="1"/>
        <v>0</v>
      </c>
    </row>
    <row r="70" spans="2:4" x14ac:dyDescent="0.25">
      <c r="B70" s="29">
        <v>24</v>
      </c>
      <c r="C70" s="30">
        <f t="shared" si="0"/>
        <v>1</v>
      </c>
      <c r="D70" s="30">
        <f t="shared" si="1"/>
        <v>0</v>
      </c>
    </row>
    <row r="71" spans="2:4" x14ac:dyDescent="0.25">
      <c r="B71" s="29">
        <v>25</v>
      </c>
      <c r="C71" s="30">
        <f t="shared" si="0"/>
        <v>1</v>
      </c>
      <c r="D71" s="30">
        <f t="shared" si="1"/>
        <v>0</v>
      </c>
    </row>
    <row r="72" spans="2:4" x14ac:dyDescent="0.25">
      <c r="B72" s="29">
        <v>26</v>
      </c>
      <c r="C72" s="30">
        <f t="shared" si="0"/>
        <v>1</v>
      </c>
      <c r="D72" s="30">
        <f t="shared" si="1"/>
        <v>0</v>
      </c>
    </row>
    <row r="73" spans="2:4" x14ac:dyDescent="0.25">
      <c r="B73" s="29">
        <v>27</v>
      </c>
      <c r="C73" s="30">
        <f t="shared" si="0"/>
        <v>1</v>
      </c>
      <c r="D73" s="30">
        <f t="shared" si="1"/>
        <v>0</v>
      </c>
    </row>
    <row r="74" spans="2:4" x14ac:dyDescent="0.25">
      <c r="B74" s="29">
        <v>28</v>
      </c>
      <c r="C74" s="30">
        <f t="shared" si="0"/>
        <v>1</v>
      </c>
      <c r="D74" s="30">
        <f t="shared" si="1"/>
        <v>0</v>
      </c>
    </row>
  </sheetData>
  <mergeCells count="9">
    <mergeCell ref="F17:G17"/>
    <mergeCell ref="H17:I17"/>
    <mergeCell ref="J17:K17"/>
    <mergeCell ref="D1:F1"/>
    <mergeCell ref="E4:K4"/>
    <mergeCell ref="E5:E16"/>
    <mergeCell ref="F5:G16"/>
    <mergeCell ref="H5:I16"/>
    <mergeCell ref="J5:K16"/>
  </mergeCells>
  <pageMargins left="0.75" right="0.75" top="1" bottom="1" header="0.51180555555555562" footer="0.51180555555555562"/>
  <pageSetup firstPageNumber="0" orientation="portrait" horizontalDpi="300" verticalDpi="300"/>
  <headerFooter alignWithMargins="0"/>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C21"/>
  <sheetViews>
    <sheetView showGridLines="0" zoomScale="85" zoomScaleNormal="85" workbookViewId="0">
      <selection activeCell="G25" sqref="G25"/>
    </sheetView>
  </sheetViews>
  <sheetFormatPr defaultRowHeight="12.5" x14ac:dyDescent="0.25"/>
  <sheetData>
    <row r="1" spans="1:3" x14ac:dyDescent="0.25">
      <c r="A1" t="s">
        <v>452</v>
      </c>
    </row>
    <row r="2" spans="1:3" x14ac:dyDescent="0.25">
      <c r="A2" t="s">
        <v>453</v>
      </c>
    </row>
    <row r="3" spans="1:3" x14ac:dyDescent="0.25">
      <c r="A3">
        <v>74.3</v>
      </c>
    </row>
    <row r="4" spans="1:3" x14ac:dyDescent="0.25">
      <c r="A4">
        <v>84.9</v>
      </c>
      <c r="C4" s="237">
        <f>SKEW(A3:A21)</f>
        <v>0.37474647732528799</v>
      </c>
    </row>
    <row r="5" spans="1:3" x14ac:dyDescent="0.25">
      <c r="A5">
        <v>69.8</v>
      </c>
    </row>
    <row r="6" spans="1:3" x14ac:dyDescent="0.25">
      <c r="A6">
        <v>68.900000000000006</v>
      </c>
    </row>
    <row r="7" spans="1:3" x14ac:dyDescent="0.25">
      <c r="A7">
        <v>78.8</v>
      </c>
    </row>
    <row r="8" spans="1:3" x14ac:dyDescent="0.25">
      <c r="A8">
        <v>81.400000000000006</v>
      </c>
    </row>
    <row r="9" spans="1:3" x14ac:dyDescent="0.25">
      <c r="A9">
        <v>75.3</v>
      </c>
    </row>
    <row r="10" spans="1:3" x14ac:dyDescent="0.25">
      <c r="A10">
        <v>72.7</v>
      </c>
    </row>
    <row r="11" spans="1:3" x14ac:dyDescent="0.25">
      <c r="A11">
        <v>72.3</v>
      </c>
    </row>
    <row r="12" spans="1:3" x14ac:dyDescent="0.25">
      <c r="A12">
        <v>71.3</v>
      </c>
    </row>
    <row r="13" spans="1:3" x14ac:dyDescent="0.25">
      <c r="A13">
        <v>79.400000000000006</v>
      </c>
    </row>
    <row r="14" spans="1:3" x14ac:dyDescent="0.25">
      <c r="A14">
        <v>83.7</v>
      </c>
    </row>
    <row r="15" spans="1:3" x14ac:dyDescent="0.25">
      <c r="A15">
        <v>73.7</v>
      </c>
    </row>
    <row r="16" spans="1:3" x14ac:dyDescent="0.25">
      <c r="A16">
        <v>69.3</v>
      </c>
    </row>
    <row r="17" spans="1:1" x14ac:dyDescent="0.25">
      <c r="A17">
        <v>84.5</v>
      </c>
    </row>
    <row r="18" spans="1:1" x14ac:dyDescent="0.25">
      <c r="A18">
        <v>77</v>
      </c>
    </row>
    <row r="19" spans="1:1" x14ac:dyDescent="0.25">
      <c r="A19">
        <v>73.900000000000006</v>
      </c>
    </row>
    <row r="20" spans="1:1" x14ac:dyDescent="0.25">
      <c r="A20">
        <v>73.599999999999994</v>
      </c>
    </row>
    <row r="21" spans="1:1" x14ac:dyDescent="0.25">
      <c r="A21">
        <v>81.5</v>
      </c>
    </row>
  </sheetData>
  <pageMargins left="0.75" right="0.75" top="1" bottom="1" header="0.51180555555555562" footer="0.51180555555555562"/>
  <pageSetup firstPageNumber="0" orientation="portrait" horizontalDpi="300" verticalDpi="300"/>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O92"/>
  <sheetViews>
    <sheetView showGridLines="0" zoomScale="85" zoomScaleNormal="85" workbookViewId="0">
      <selection activeCell="A28" sqref="A28"/>
    </sheetView>
  </sheetViews>
  <sheetFormatPr defaultRowHeight="12.5" x14ac:dyDescent="0.25"/>
  <cols>
    <col min="8" max="8" width="26" customWidth="1"/>
  </cols>
  <sheetData>
    <row r="1" spans="1:8" ht="23" x14ac:dyDescent="0.5">
      <c r="A1" s="196" t="s">
        <v>454</v>
      </c>
      <c r="B1" s="19"/>
      <c r="C1" s="19"/>
      <c r="D1" s="19"/>
    </row>
    <row r="2" spans="1:8" ht="23" x14ac:dyDescent="0.5">
      <c r="A2" s="238"/>
      <c r="H2" t="s">
        <v>455</v>
      </c>
    </row>
    <row r="3" spans="1:8" ht="15" customHeight="1" x14ac:dyDescent="0.3">
      <c r="A3" s="23" t="s">
        <v>456</v>
      </c>
      <c r="H3" t="s">
        <v>457</v>
      </c>
    </row>
    <row r="4" spans="1:8" ht="15" customHeight="1" x14ac:dyDescent="0.3">
      <c r="A4" s="23" t="s">
        <v>458</v>
      </c>
    </row>
    <row r="5" spans="1:8" ht="15" customHeight="1" x14ac:dyDescent="0.3">
      <c r="A5" s="23" t="s">
        <v>459</v>
      </c>
    </row>
    <row r="6" spans="1:8" ht="9.75" customHeight="1" x14ac:dyDescent="0.25">
      <c r="A6" s="408" t="s">
        <v>460</v>
      </c>
      <c r="B6" s="408"/>
      <c r="C6" s="408"/>
      <c r="D6" s="408"/>
      <c r="E6" s="408"/>
      <c r="F6" s="408"/>
      <c r="G6" s="408"/>
    </row>
    <row r="7" spans="1:8" ht="15" customHeight="1" x14ac:dyDescent="0.25">
      <c r="A7" s="408"/>
      <c r="B7" s="408"/>
      <c r="C7" s="408"/>
      <c r="D7" s="408"/>
      <c r="E7" s="408"/>
      <c r="F7" s="408"/>
      <c r="G7" s="408"/>
    </row>
    <row r="8" spans="1:8" ht="15" customHeight="1" x14ac:dyDescent="0.25">
      <c r="A8" s="408"/>
      <c r="B8" s="408"/>
      <c r="C8" s="408"/>
      <c r="D8" s="408"/>
      <c r="E8" s="408"/>
      <c r="F8" s="408"/>
      <c r="G8" s="408"/>
    </row>
    <row r="9" spans="1:8" ht="18" customHeight="1" x14ac:dyDescent="0.3">
      <c r="A9" s="23" t="s">
        <v>461</v>
      </c>
      <c r="B9" s="22"/>
      <c r="C9" s="22"/>
      <c r="D9" s="22"/>
      <c r="E9" s="22"/>
      <c r="F9" s="22"/>
      <c r="G9" s="22"/>
    </row>
    <row r="10" spans="1:8" ht="15" customHeight="1" x14ac:dyDescent="0.3">
      <c r="A10" s="23" t="s">
        <v>462</v>
      </c>
    </row>
    <row r="11" spans="1:8" ht="15" customHeight="1" x14ac:dyDescent="0.3">
      <c r="A11" s="23" t="s">
        <v>463</v>
      </c>
    </row>
    <row r="12" spans="1:8" ht="15" customHeight="1" x14ac:dyDescent="0.3">
      <c r="A12" s="23" t="s">
        <v>464</v>
      </c>
    </row>
    <row r="13" spans="1:8" ht="15" customHeight="1" x14ac:dyDescent="0.3">
      <c r="A13" s="23" t="s">
        <v>465</v>
      </c>
    </row>
    <row r="14" spans="1:8" ht="15" customHeight="1" x14ac:dyDescent="0.3">
      <c r="A14" s="23" t="s">
        <v>466</v>
      </c>
    </row>
    <row r="15" spans="1:8" ht="15" customHeight="1" x14ac:dyDescent="0.3">
      <c r="A15" s="23" t="s">
        <v>467</v>
      </c>
    </row>
    <row r="16" spans="1:8" ht="15" customHeight="1" x14ac:dyDescent="0.3">
      <c r="A16" s="23" t="s">
        <v>468</v>
      </c>
    </row>
    <row r="17" spans="1:12" ht="15" customHeight="1" x14ac:dyDescent="0.25">
      <c r="A17" s="409" t="s">
        <v>469</v>
      </c>
      <c r="B17" s="409"/>
      <c r="C17" s="409"/>
      <c r="D17" s="409"/>
      <c r="E17" s="409"/>
      <c r="F17" s="409"/>
      <c r="G17" s="409"/>
    </row>
    <row r="18" spans="1:12" ht="15" customHeight="1" x14ac:dyDescent="0.25">
      <c r="A18" s="409"/>
      <c r="B18" s="409"/>
      <c r="C18" s="409"/>
      <c r="D18" s="409"/>
      <c r="E18" s="409"/>
      <c r="F18" s="409"/>
      <c r="G18" s="409"/>
    </row>
    <row r="19" spans="1:12" ht="15" customHeight="1" x14ac:dyDescent="0.25">
      <c r="A19" s="409" t="s">
        <v>470</v>
      </c>
      <c r="B19" s="409"/>
      <c r="C19" s="409"/>
      <c r="D19" s="409"/>
      <c r="E19" s="409"/>
      <c r="F19" s="409"/>
      <c r="G19" s="409"/>
    </row>
    <row r="20" spans="1:12" ht="15" customHeight="1" x14ac:dyDescent="0.25">
      <c r="A20" s="409"/>
      <c r="B20" s="409"/>
      <c r="C20" s="409"/>
      <c r="D20" s="409"/>
      <c r="E20" s="409"/>
      <c r="F20" s="409"/>
      <c r="G20" s="409"/>
    </row>
    <row r="21" spans="1:12" ht="15" customHeight="1" x14ac:dyDescent="0.3">
      <c r="A21" s="23"/>
    </row>
    <row r="22" spans="1:12" ht="15" customHeight="1" x14ac:dyDescent="0.25">
      <c r="A22" s="129"/>
      <c r="B22" s="162" t="s">
        <v>0</v>
      </c>
      <c r="C22" s="129"/>
    </row>
    <row r="23" spans="1:12" ht="15" customHeight="1" x14ac:dyDescent="0.3">
      <c r="A23" s="115"/>
      <c r="B23" s="228" t="s">
        <v>2</v>
      </c>
      <c r="C23" s="115"/>
    </row>
    <row r="24" spans="1:12" ht="12.9" customHeight="1" x14ac:dyDescent="0.25">
      <c r="H24" s="410" t="s">
        <v>471</v>
      </c>
      <c r="I24" s="410"/>
      <c r="J24" s="410"/>
      <c r="K24" s="410"/>
      <c r="L24" s="410"/>
    </row>
    <row r="25" spans="1:12" ht="17.5" x14ac:dyDescent="0.35">
      <c r="A25" s="239" t="s">
        <v>472</v>
      </c>
      <c r="B25" s="240"/>
      <c r="C25" s="240"/>
      <c r="D25" s="240"/>
      <c r="E25" s="240"/>
      <c r="F25" s="241"/>
      <c r="G25" s="19"/>
      <c r="H25" s="410"/>
      <c r="I25" s="410"/>
      <c r="J25" s="410"/>
      <c r="K25" s="410"/>
      <c r="L25" s="410"/>
    </row>
    <row r="26" spans="1:12" x14ac:dyDescent="0.25">
      <c r="H26" s="410"/>
      <c r="I26" s="410"/>
      <c r="J26" s="410"/>
      <c r="K26" s="410"/>
      <c r="L26" s="410"/>
    </row>
    <row r="27" spans="1:12" x14ac:dyDescent="0.25">
      <c r="H27" s="389" t="s">
        <v>473</v>
      </c>
      <c r="I27" s="389"/>
      <c r="J27" s="389"/>
      <c r="K27" s="389"/>
      <c r="L27" s="389"/>
    </row>
    <row r="29" spans="1:12" x14ac:dyDescent="0.25">
      <c r="A29" s="242" t="s">
        <v>474</v>
      </c>
      <c r="B29" s="242" t="s">
        <v>475</v>
      </c>
      <c r="C29" s="242" t="s">
        <v>476</v>
      </c>
      <c r="D29" s="242" t="s">
        <v>477</v>
      </c>
      <c r="E29" s="242" t="s">
        <v>478</v>
      </c>
      <c r="F29" s="242" t="s">
        <v>479</v>
      </c>
      <c r="G29" s="242"/>
      <c r="J29" t="s">
        <v>480</v>
      </c>
    </row>
    <row r="30" spans="1:12" x14ac:dyDescent="0.25">
      <c r="A30" s="129">
        <v>74.599999999999994</v>
      </c>
      <c r="B30" s="129">
        <v>119.9</v>
      </c>
      <c r="C30" s="129">
        <v>118.2</v>
      </c>
      <c r="D30" s="129">
        <v>110.9</v>
      </c>
      <c r="E30" s="129">
        <v>90</v>
      </c>
      <c r="F30" s="129">
        <v>65.099999999999994</v>
      </c>
      <c r="G30" s="129"/>
      <c r="H30" t="s">
        <v>480</v>
      </c>
    </row>
    <row r="31" spans="1:12" x14ac:dyDescent="0.25">
      <c r="A31" s="129">
        <v>72.900000000000006</v>
      </c>
      <c r="B31" s="129">
        <v>43.2</v>
      </c>
      <c r="C31" s="129">
        <v>26.1</v>
      </c>
      <c r="D31" s="129">
        <v>120.5</v>
      </c>
      <c r="E31" s="129">
        <v>53.5</v>
      </c>
      <c r="F31" s="129">
        <v>110.5</v>
      </c>
      <c r="G31" s="129"/>
    </row>
    <row r="32" spans="1:12" x14ac:dyDescent="0.25">
      <c r="A32" s="129">
        <v>112.6</v>
      </c>
      <c r="B32" s="129">
        <v>22.7</v>
      </c>
      <c r="C32" s="129">
        <v>87.7</v>
      </c>
      <c r="D32" s="129">
        <v>34.700000000000003</v>
      </c>
      <c r="E32" s="129">
        <v>112.3</v>
      </c>
      <c r="F32" s="129">
        <v>119.6</v>
      </c>
      <c r="G32" s="129"/>
      <c r="H32" t="s">
        <v>481</v>
      </c>
    </row>
    <row r="33" spans="1:15" ht="13" x14ac:dyDescent="0.3">
      <c r="A33" s="129">
        <v>108.8</v>
      </c>
      <c r="B33" s="129">
        <v>29.3</v>
      </c>
      <c r="C33" s="129">
        <v>90.2</v>
      </c>
      <c r="D33" s="129">
        <v>31.4</v>
      </c>
      <c r="E33" s="129">
        <v>57.1</v>
      </c>
      <c r="F33" s="129">
        <v>74.900000000000006</v>
      </c>
      <c r="G33" s="129"/>
      <c r="H33" s="141" t="s">
        <v>482</v>
      </c>
      <c r="I33" s="141" t="s">
        <v>483</v>
      </c>
      <c r="J33" s="141" t="s">
        <v>484</v>
      </c>
      <c r="K33" s="141" t="s">
        <v>285</v>
      </c>
      <c r="L33" s="141" t="s">
        <v>215</v>
      </c>
    </row>
    <row r="34" spans="1:15" x14ac:dyDescent="0.25">
      <c r="A34" s="129">
        <v>118.2</v>
      </c>
      <c r="B34" s="129">
        <v>92.7</v>
      </c>
      <c r="C34" s="129">
        <v>89.7</v>
      </c>
      <c r="D34" s="129">
        <v>117.2</v>
      </c>
      <c r="E34" s="129">
        <v>52.9</v>
      </c>
      <c r="F34" s="129">
        <v>105.1</v>
      </c>
      <c r="G34" s="129"/>
      <c r="H34" t="s">
        <v>474</v>
      </c>
      <c r="I34">
        <v>7</v>
      </c>
      <c r="J34">
        <v>645.4</v>
      </c>
      <c r="K34">
        <v>92.2</v>
      </c>
      <c r="L34">
        <v>465.16999999999945</v>
      </c>
    </row>
    <row r="35" spans="1:15" x14ac:dyDescent="0.25">
      <c r="A35" s="129">
        <v>65</v>
      </c>
      <c r="B35" s="129">
        <v>97</v>
      </c>
      <c r="C35" s="129">
        <v>64.2</v>
      </c>
      <c r="D35" s="129">
        <v>51.5</v>
      </c>
      <c r="E35" s="129">
        <v>93.6</v>
      </c>
      <c r="F35" s="129">
        <v>94.2</v>
      </c>
      <c r="G35" s="129"/>
      <c r="H35" t="s">
        <v>475</v>
      </c>
      <c r="I35">
        <v>14</v>
      </c>
      <c r="J35">
        <v>992.9</v>
      </c>
      <c r="K35">
        <v>70.921428571428578</v>
      </c>
      <c r="L35">
        <v>1005.4264285714285</v>
      </c>
    </row>
    <row r="36" spans="1:15" x14ac:dyDescent="0.25">
      <c r="A36" s="129">
        <v>93.3</v>
      </c>
      <c r="B36" s="129">
        <v>69</v>
      </c>
      <c r="C36" s="129">
        <v>40.6</v>
      </c>
      <c r="D36" s="129">
        <v>117.3</v>
      </c>
      <c r="E36" s="129">
        <v>30.8</v>
      </c>
      <c r="F36" s="129">
        <v>81.8</v>
      </c>
      <c r="G36" s="129"/>
      <c r="H36" t="s">
        <v>476</v>
      </c>
      <c r="I36">
        <v>17</v>
      </c>
      <c r="J36">
        <v>1293.4000000000001</v>
      </c>
      <c r="K36">
        <v>76.082352941176467</v>
      </c>
      <c r="L36">
        <v>915.41029411764976</v>
      </c>
    </row>
    <row r="37" spans="1:15" x14ac:dyDescent="0.25">
      <c r="A37" s="129"/>
      <c r="B37" s="129">
        <v>91.9</v>
      </c>
      <c r="C37" s="129">
        <v>55.6</v>
      </c>
      <c r="D37" s="129">
        <v>82.3</v>
      </c>
      <c r="E37" s="129">
        <v>110.1</v>
      </c>
      <c r="F37" s="129">
        <v>73.599999999999994</v>
      </c>
      <c r="G37" s="129"/>
      <c r="H37" t="s">
        <v>477</v>
      </c>
      <c r="I37">
        <v>8</v>
      </c>
      <c r="J37">
        <v>665.8</v>
      </c>
      <c r="K37">
        <v>83.225000000000009</v>
      </c>
      <c r="L37">
        <v>1502.6535714285721</v>
      </c>
    </row>
    <row r="38" spans="1:15" x14ac:dyDescent="0.25">
      <c r="A38" s="129"/>
      <c r="B38" s="129">
        <v>25.3</v>
      </c>
      <c r="C38" s="129">
        <v>46.7</v>
      </c>
      <c r="D38" s="129"/>
      <c r="E38" s="129">
        <v>93</v>
      </c>
      <c r="F38" s="129">
        <v>77.900000000000006</v>
      </c>
      <c r="G38" s="129"/>
      <c r="H38" t="s">
        <v>478</v>
      </c>
      <c r="I38">
        <v>18</v>
      </c>
      <c r="J38">
        <v>1384.4</v>
      </c>
      <c r="K38">
        <v>76.911111111111097</v>
      </c>
      <c r="L38">
        <v>771.61869281045892</v>
      </c>
    </row>
    <row r="39" spans="1:15" x14ac:dyDescent="0.25">
      <c r="A39" s="129"/>
      <c r="B39" s="129">
        <v>62.6</v>
      </c>
      <c r="C39" s="129">
        <v>58.8</v>
      </c>
      <c r="D39" s="129"/>
      <c r="E39" s="129">
        <v>100.8</v>
      </c>
      <c r="F39" s="129">
        <v>94.3</v>
      </c>
      <c r="G39" s="129"/>
      <c r="H39" s="119" t="s">
        <v>479</v>
      </c>
      <c r="I39" s="119">
        <v>20</v>
      </c>
      <c r="J39" s="119">
        <v>1555.6</v>
      </c>
      <c r="K39" s="119">
        <v>77.78</v>
      </c>
      <c r="L39" s="119">
        <v>603.24905263158291</v>
      </c>
    </row>
    <row r="40" spans="1:15" x14ac:dyDescent="0.25">
      <c r="A40" s="129"/>
      <c r="B40" s="129">
        <v>107.2</v>
      </c>
      <c r="C40" s="129">
        <v>85</v>
      </c>
      <c r="D40" s="129"/>
      <c r="E40" s="129">
        <v>51.5</v>
      </c>
      <c r="F40" s="129">
        <v>51.4</v>
      </c>
      <c r="G40" s="129"/>
    </row>
    <row r="41" spans="1:15" x14ac:dyDescent="0.25">
      <c r="A41" s="129"/>
      <c r="B41" s="129">
        <v>98</v>
      </c>
      <c r="C41" s="129">
        <v>62.4</v>
      </c>
      <c r="D41" s="129"/>
      <c r="E41" s="129">
        <v>46</v>
      </c>
      <c r="F41" s="129">
        <v>80.400000000000006</v>
      </c>
      <c r="G41" s="129"/>
    </row>
    <row r="42" spans="1:15" x14ac:dyDescent="0.25">
      <c r="A42" s="129"/>
      <c r="B42" s="129">
        <v>70</v>
      </c>
      <c r="C42" s="129">
        <v>31.4</v>
      </c>
      <c r="D42" s="129"/>
      <c r="E42" s="129">
        <v>116.1</v>
      </c>
      <c r="F42" s="129">
        <v>36.299999999999997</v>
      </c>
      <c r="G42" s="129"/>
      <c r="H42" t="s">
        <v>428</v>
      </c>
      <c r="M42" s="407" t="s">
        <v>485</v>
      </c>
      <c r="N42" s="407"/>
      <c r="O42" s="407"/>
    </row>
    <row r="43" spans="1:15" ht="13" x14ac:dyDescent="0.3">
      <c r="A43" s="129"/>
      <c r="B43" s="129">
        <v>64.099999999999994</v>
      </c>
      <c r="C43" s="129">
        <v>114.4</v>
      </c>
      <c r="D43" s="129"/>
      <c r="E43" s="129">
        <v>64.3</v>
      </c>
      <c r="F43" s="129">
        <v>108.1</v>
      </c>
      <c r="G43" s="129"/>
      <c r="H43" s="141" t="s">
        <v>486</v>
      </c>
      <c r="I43" s="141" t="s">
        <v>429</v>
      </c>
      <c r="J43" s="141" t="s">
        <v>219</v>
      </c>
      <c r="K43" s="141" t="s">
        <v>430</v>
      </c>
      <c r="L43" s="141" t="s">
        <v>245</v>
      </c>
      <c r="M43" s="141" t="s">
        <v>440</v>
      </c>
      <c r="N43" s="141" t="s">
        <v>487</v>
      </c>
    </row>
    <row r="44" spans="1:15" ht="13" x14ac:dyDescent="0.3">
      <c r="A44" s="129"/>
      <c r="B44" s="129"/>
      <c r="C44" s="129">
        <v>114.2</v>
      </c>
      <c r="D44" s="129"/>
      <c r="E44" s="129">
        <v>88</v>
      </c>
      <c r="F44" s="129">
        <v>67.599999999999994</v>
      </c>
      <c r="G44" s="129"/>
      <c r="H44" s="156" t="s">
        <v>488</v>
      </c>
      <c r="I44" s="115">
        <v>2413.6939687208214</v>
      </c>
      <c r="J44">
        <v>5</v>
      </c>
      <c r="K44">
        <v>482.7387937441643</v>
      </c>
      <c r="L44" s="115">
        <v>0.57393611644399745</v>
      </c>
      <c r="M44" s="115">
        <v>0.71974467486774707</v>
      </c>
      <c r="N44">
        <v>2.3317385385507139</v>
      </c>
    </row>
    <row r="45" spans="1:15" ht="13" x14ac:dyDescent="0.3">
      <c r="A45" s="129"/>
      <c r="B45" s="129"/>
      <c r="C45" s="129">
        <v>111.8</v>
      </c>
      <c r="D45" s="129"/>
      <c r="E45" s="129">
        <v>80.5</v>
      </c>
      <c r="F45" s="129">
        <v>83.3</v>
      </c>
      <c r="G45" s="129"/>
      <c r="H45" s="156" t="s">
        <v>489</v>
      </c>
      <c r="I45" s="115">
        <v>65605.953055088699</v>
      </c>
      <c r="J45">
        <v>78</v>
      </c>
      <c r="K45">
        <v>841.10196224472691</v>
      </c>
    </row>
    <row r="46" spans="1:15" x14ac:dyDescent="0.25">
      <c r="A46" s="129"/>
      <c r="B46" s="129"/>
      <c r="C46" s="129">
        <v>96.4</v>
      </c>
      <c r="D46" s="129"/>
      <c r="E46" s="129">
        <v>106.3</v>
      </c>
      <c r="F46" s="129">
        <v>97.2</v>
      </c>
      <c r="G46" s="129"/>
    </row>
    <row r="47" spans="1:15" x14ac:dyDescent="0.25">
      <c r="A47" s="129"/>
      <c r="B47" s="129"/>
      <c r="C47" s="129"/>
      <c r="D47" s="129"/>
      <c r="E47" s="129">
        <v>37.6</v>
      </c>
      <c r="F47" s="129">
        <v>41.6</v>
      </c>
      <c r="G47" s="129"/>
      <c r="H47" s="243" t="s">
        <v>436</v>
      </c>
      <c r="I47" s="236">
        <v>68019.647023809506</v>
      </c>
      <c r="J47" s="119">
        <v>83</v>
      </c>
      <c r="K47" s="119"/>
      <c r="L47" s="119"/>
      <c r="M47" s="119"/>
      <c r="N47" s="119"/>
    </row>
    <row r="48" spans="1:15" x14ac:dyDescent="0.25">
      <c r="A48" s="129"/>
      <c r="B48" s="129"/>
      <c r="C48" s="129"/>
      <c r="D48" s="129"/>
      <c r="E48" s="129"/>
      <c r="F48" s="129">
        <v>43.9</v>
      </c>
      <c r="G48" s="129"/>
    </row>
    <row r="49" spans="1:14" x14ac:dyDescent="0.25">
      <c r="A49" s="129"/>
      <c r="B49" s="129"/>
      <c r="C49" s="129"/>
      <c r="D49" s="129"/>
      <c r="E49" s="129"/>
      <c r="F49" s="129">
        <v>48.8</v>
      </c>
      <c r="G49" s="129"/>
      <c r="L49" s="407" t="s">
        <v>490</v>
      </c>
      <c r="M49" s="407"/>
    </row>
    <row r="50" spans="1:14" x14ac:dyDescent="0.25">
      <c r="A50" s="129"/>
      <c r="B50" s="129"/>
      <c r="C50" s="129"/>
      <c r="D50" s="129"/>
      <c r="E50" s="129"/>
      <c r="F50" s="129"/>
      <c r="G50" s="129"/>
    </row>
    <row r="51" spans="1:14" x14ac:dyDescent="0.25">
      <c r="A51" s="129"/>
      <c r="B51" s="129"/>
      <c r="C51" s="129"/>
      <c r="D51" s="129"/>
      <c r="E51" s="129"/>
      <c r="F51" s="129"/>
      <c r="G51" s="129"/>
    </row>
    <row r="52" spans="1:14" x14ac:dyDescent="0.25">
      <c r="A52" s="129"/>
      <c r="B52" s="129"/>
      <c r="C52" s="129"/>
      <c r="D52" s="129"/>
      <c r="E52" s="129"/>
      <c r="F52" s="129"/>
      <c r="G52" s="129"/>
    </row>
    <row r="53" spans="1:14" ht="13" x14ac:dyDescent="0.3">
      <c r="A53" s="129"/>
      <c r="B53" s="129"/>
      <c r="C53" s="129"/>
      <c r="D53" s="129"/>
      <c r="E53" s="129"/>
      <c r="F53" s="129"/>
      <c r="G53" s="129"/>
      <c r="H53" s="139"/>
      <c r="I53" s="139"/>
      <c r="J53" s="139"/>
      <c r="K53" s="139"/>
      <c r="L53" s="139"/>
    </row>
    <row r="54" spans="1:14" x14ac:dyDescent="0.25">
      <c r="A54" s="129"/>
      <c r="B54" s="129"/>
      <c r="C54" s="129"/>
      <c r="D54" s="129"/>
      <c r="E54" s="129"/>
      <c r="F54" s="129"/>
      <c r="G54" s="129"/>
    </row>
    <row r="55" spans="1:14" x14ac:dyDescent="0.25">
      <c r="A55" s="129"/>
      <c r="B55" s="129"/>
      <c r="C55" s="129"/>
      <c r="D55" s="129"/>
      <c r="E55" s="129"/>
      <c r="F55" s="129"/>
      <c r="G55" s="129"/>
    </row>
    <row r="56" spans="1:14" x14ac:dyDescent="0.25">
      <c r="A56" s="129"/>
      <c r="B56" s="129"/>
      <c r="C56" s="129"/>
      <c r="D56" s="129"/>
      <c r="E56" s="129"/>
      <c r="F56" s="129"/>
      <c r="G56" s="129"/>
    </row>
    <row r="57" spans="1:14" x14ac:dyDescent="0.25">
      <c r="A57" s="129"/>
      <c r="B57" s="129"/>
      <c r="C57" s="129"/>
      <c r="D57" s="129"/>
      <c r="E57" s="129"/>
      <c r="F57" s="129"/>
      <c r="G57" s="129"/>
    </row>
    <row r="58" spans="1:14" x14ac:dyDescent="0.25">
      <c r="A58" s="129"/>
      <c r="B58" s="129"/>
      <c r="C58" s="129"/>
      <c r="D58" s="129"/>
      <c r="E58" s="129"/>
      <c r="F58" s="129"/>
      <c r="G58" s="129"/>
    </row>
    <row r="59" spans="1:14" x14ac:dyDescent="0.25">
      <c r="A59" s="129"/>
      <c r="B59" s="129"/>
      <c r="C59" s="129"/>
      <c r="D59" s="129"/>
      <c r="E59" s="129"/>
      <c r="F59" s="129"/>
      <c r="G59" s="129"/>
    </row>
    <row r="60" spans="1:14" x14ac:dyDescent="0.25">
      <c r="A60" s="129"/>
      <c r="B60" s="129"/>
      <c r="C60" s="129"/>
      <c r="D60" s="129"/>
      <c r="E60" s="129"/>
      <c r="F60" s="129"/>
      <c r="G60" s="129"/>
    </row>
    <row r="61" spans="1:14" x14ac:dyDescent="0.25">
      <c r="A61" s="129"/>
      <c r="B61" s="129"/>
      <c r="C61" s="129"/>
      <c r="D61" s="129"/>
      <c r="E61" s="129"/>
      <c r="F61" s="129"/>
      <c r="G61" s="129"/>
    </row>
    <row r="62" spans="1:14" x14ac:dyDescent="0.25">
      <c r="A62" s="129"/>
      <c r="B62" s="129"/>
      <c r="C62" s="129"/>
      <c r="D62" s="129"/>
      <c r="E62" s="129"/>
      <c r="F62" s="129"/>
      <c r="G62" s="129"/>
    </row>
    <row r="63" spans="1:14" ht="13" x14ac:dyDescent="0.3">
      <c r="A63" s="129"/>
      <c r="B63" s="129"/>
      <c r="C63" s="129"/>
      <c r="D63" s="129"/>
      <c r="E63" s="129"/>
      <c r="F63" s="129"/>
      <c r="G63" s="129"/>
      <c r="H63" s="139"/>
      <c r="I63" s="139"/>
      <c r="J63" s="139"/>
      <c r="K63" s="139"/>
      <c r="L63" s="139"/>
      <c r="M63" s="139"/>
      <c r="N63" s="139"/>
    </row>
    <row r="64" spans="1:14" x14ac:dyDescent="0.25">
      <c r="A64" s="129"/>
      <c r="B64" s="129"/>
      <c r="C64" s="129"/>
      <c r="D64" s="129"/>
      <c r="E64" s="129"/>
      <c r="F64" s="129"/>
      <c r="G64" s="129"/>
    </row>
    <row r="65" spans="1:7" x14ac:dyDescent="0.25">
      <c r="A65" s="129"/>
      <c r="B65" s="129"/>
      <c r="C65" s="129"/>
      <c r="D65" s="129"/>
      <c r="E65" s="129"/>
      <c r="F65" s="129"/>
      <c r="G65" s="129"/>
    </row>
    <row r="66" spans="1:7" x14ac:dyDescent="0.25">
      <c r="A66" s="129"/>
      <c r="B66" s="129"/>
      <c r="C66" s="129"/>
      <c r="D66" s="129"/>
      <c r="E66" s="129"/>
      <c r="F66" s="129"/>
      <c r="G66" s="129"/>
    </row>
    <row r="67" spans="1:7" x14ac:dyDescent="0.25">
      <c r="A67" s="129"/>
      <c r="B67" s="129"/>
      <c r="C67" s="129"/>
      <c r="D67" s="129"/>
      <c r="E67" s="129"/>
      <c r="F67" s="129"/>
      <c r="G67" s="129"/>
    </row>
    <row r="68" spans="1:7" x14ac:dyDescent="0.25">
      <c r="A68" s="129"/>
      <c r="B68" s="129"/>
      <c r="C68" s="129"/>
      <c r="D68" s="129"/>
      <c r="E68" s="129"/>
      <c r="F68" s="129"/>
      <c r="G68" s="129"/>
    </row>
    <row r="69" spans="1:7" x14ac:dyDescent="0.25">
      <c r="A69" s="129"/>
      <c r="B69" s="129"/>
      <c r="C69" s="129"/>
      <c r="D69" s="129"/>
      <c r="E69" s="129"/>
      <c r="F69" s="129"/>
      <c r="G69" s="129"/>
    </row>
    <row r="70" spans="1:7" x14ac:dyDescent="0.25">
      <c r="A70" s="129"/>
      <c r="B70" s="129"/>
      <c r="C70" s="129"/>
      <c r="D70" s="129"/>
      <c r="E70" s="129"/>
      <c r="F70" s="129"/>
      <c r="G70" s="129"/>
    </row>
    <row r="71" spans="1:7" x14ac:dyDescent="0.25">
      <c r="A71" s="129"/>
      <c r="B71" s="129"/>
      <c r="C71" s="129"/>
      <c r="D71" s="129"/>
      <c r="E71" s="129"/>
      <c r="F71" s="129"/>
      <c r="G71" s="129"/>
    </row>
    <row r="72" spans="1:7" x14ac:dyDescent="0.25">
      <c r="A72" s="129"/>
      <c r="B72" s="129"/>
      <c r="C72" s="129"/>
      <c r="D72" s="129"/>
      <c r="E72" s="129"/>
      <c r="F72" s="129"/>
      <c r="G72" s="129"/>
    </row>
    <row r="73" spans="1:7" x14ac:dyDescent="0.25">
      <c r="A73" s="129"/>
      <c r="B73" s="129"/>
      <c r="C73" s="129"/>
      <c r="D73" s="129"/>
      <c r="E73" s="129"/>
      <c r="F73" s="129"/>
      <c r="G73" s="129"/>
    </row>
    <row r="74" spans="1:7" x14ac:dyDescent="0.25">
      <c r="A74" s="129"/>
      <c r="B74" s="129"/>
      <c r="C74" s="129"/>
      <c r="D74" s="129"/>
      <c r="E74" s="129"/>
      <c r="F74" s="129"/>
      <c r="G74" s="129"/>
    </row>
    <row r="75" spans="1:7" x14ac:dyDescent="0.25">
      <c r="A75" s="129"/>
      <c r="B75" s="129"/>
      <c r="C75" s="129"/>
      <c r="D75" s="129"/>
      <c r="E75" s="129"/>
      <c r="F75" s="129"/>
      <c r="G75" s="129"/>
    </row>
    <row r="76" spans="1:7" x14ac:dyDescent="0.25">
      <c r="A76" s="129"/>
      <c r="B76" s="129"/>
      <c r="C76" s="129"/>
      <c r="D76" s="129"/>
      <c r="E76" s="129"/>
      <c r="F76" s="129"/>
      <c r="G76" s="129"/>
    </row>
    <row r="77" spans="1:7" x14ac:dyDescent="0.25">
      <c r="A77" s="129"/>
      <c r="B77" s="129"/>
      <c r="C77" s="129"/>
      <c r="D77" s="129"/>
      <c r="E77" s="129"/>
      <c r="F77" s="129"/>
      <c r="G77" s="129"/>
    </row>
    <row r="78" spans="1:7" x14ac:dyDescent="0.25">
      <c r="A78" s="129"/>
      <c r="B78" s="129"/>
      <c r="C78" s="129"/>
      <c r="D78" s="129"/>
      <c r="E78" s="129"/>
      <c r="F78" s="129"/>
      <c r="G78" s="129"/>
    </row>
    <row r="79" spans="1:7" x14ac:dyDescent="0.25">
      <c r="A79" s="129"/>
      <c r="B79" s="129"/>
      <c r="C79" s="129"/>
      <c r="D79" s="129"/>
      <c r="E79" s="129"/>
      <c r="F79" s="129"/>
      <c r="G79" s="129"/>
    </row>
    <row r="80" spans="1:7" x14ac:dyDescent="0.25">
      <c r="A80" s="129"/>
      <c r="B80" s="129"/>
      <c r="C80" s="129"/>
      <c r="D80" s="129"/>
      <c r="E80" s="129"/>
      <c r="F80" s="129"/>
      <c r="G80" s="129"/>
    </row>
    <row r="81" spans="1:7" x14ac:dyDescent="0.25">
      <c r="A81" s="129"/>
      <c r="B81" s="129"/>
      <c r="C81" s="129"/>
      <c r="D81" s="129"/>
      <c r="E81" s="129"/>
      <c r="F81" s="129"/>
      <c r="G81" s="129"/>
    </row>
    <row r="82" spans="1:7" x14ac:dyDescent="0.25">
      <c r="A82" s="129"/>
      <c r="B82" s="129"/>
      <c r="C82" s="129"/>
      <c r="D82" s="129"/>
      <c r="E82" s="129"/>
      <c r="F82" s="129"/>
      <c r="G82" s="129"/>
    </row>
    <row r="83" spans="1:7" x14ac:dyDescent="0.25">
      <c r="A83" s="129"/>
      <c r="B83" s="129"/>
      <c r="C83" s="129"/>
      <c r="D83" s="129"/>
      <c r="E83" s="129"/>
      <c r="F83" s="129"/>
      <c r="G83" s="129"/>
    </row>
    <row r="84" spans="1:7" x14ac:dyDescent="0.25">
      <c r="A84" s="129"/>
      <c r="B84" s="129"/>
      <c r="C84" s="129"/>
      <c r="D84" s="129"/>
      <c r="E84" s="129"/>
      <c r="F84" s="129"/>
      <c r="G84" s="129"/>
    </row>
    <row r="85" spans="1:7" x14ac:dyDescent="0.25">
      <c r="A85" s="129"/>
      <c r="B85" s="129"/>
      <c r="C85" s="129"/>
      <c r="D85" s="129"/>
      <c r="E85" s="129"/>
      <c r="F85" s="129"/>
      <c r="G85" s="129"/>
    </row>
    <row r="86" spans="1:7" x14ac:dyDescent="0.25">
      <c r="A86" s="129"/>
      <c r="B86" s="129"/>
      <c r="C86" s="129"/>
      <c r="D86" s="129"/>
      <c r="E86" s="129"/>
      <c r="F86" s="129"/>
      <c r="G86" s="129"/>
    </row>
    <row r="87" spans="1:7" x14ac:dyDescent="0.25">
      <c r="A87" s="129"/>
      <c r="B87" s="129"/>
      <c r="C87" s="129"/>
      <c r="D87" s="129"/>
      <c r="E87" s="129"/>
      <c r="F87" s="129"/>
      <c r="G87" s="129"/>
    </row>
    <row r="88" spans="1:7" x14ac:dyDescent="0.25">
      <c r="A88" s="129"/>
      <c r="B88" s="129"/>
      <c r="C88" s="129"/>
      <c r="D88" s="129"/>
      <c r="E88" s="129"/>
      <c r="F88" s="129"/>
      <c r="G88" s="129"/>
    </row>
    <row r="89" spans="1:7" x14ac:dyDescent="0.25">
      <c r="A89" s="129"/>
      <c r="B89" s="129"/>
      <c r="C89" s="129"/>
      <c r="D89" s="129"/>
      <c r="E89" s="129"/>
      <c r="F89" s="129"/>
      <c r="G89" s="129"/>
    </row>
    <row r="90" spans="1:7" x14ac:dyDescent="0.25">
      <c r="A90" s="129"/>
      <c r="B90" s="129"/>
      <c r="C90" s="129"/>
      <c r="D90" s="129"/>
      <c r="E90" s="129"/>
      <c r="F90" s="129"/>
      <c r="G90" s="129"/>
    </row>
    <row r="91" spans="1:7" x14ac:dyDescent="0.25">
      <c r="A91" s="129"/>
      <c r="B91" s="129"/>
      <c r="C91" s="129"/>
      <c r="D91" s="129"/>
      <c r="E91" s="129"/>
      <c r="F91" s="129"/>
      <c r="G91" s="129"/>
    </row>
    <row r="92" spans="1:7" x14ac:dyDescent="0.25">
      <c r="A92" s="129"/>
      <c r="B92" s="129"/>
      <c r="C92" s="129"/>
      <c r="D92" s="129"/>
      <c r="E92" s="129"/>
      <c r="F92" s="129"/>
      <c r="G92" s="129"/>
    </row>
  </sheetData>
  <mergeCells count="7">
    <mergeCell ref="L49:M49"/>
    <mergeCell ref="A6:G8"/>
    <mergeCell ref="A17:G18"/>
    <mergeCell ref="A19:G20"/>
    <mergeCell ref="H24:L26"/>
    <mergeCell ref="H27:L27"/>
    <mergeCell ref="M42:O42"/>
  </mergeCells>
  <pageMargins left="0.75" right="0.75" top="1" bottom="1" header="0.51180555555555562" footer="0.51180555555555562"/>
  <pageSetup firstPageNumber="0" orientation="portrait" horizontalDpi="300" verticalDpi="300"/>
  <headerFooter alignWithMargins="0"/>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K222"/>
  <sheetViews>
    <sheetView showGridLines="0" zoomScale="85" zoomScaleNormal="85" workbookViewId="0">
      <selection activeCell="B20" sqref="B20"/>
    </sheetView>
  </sheetViews>
  <sheetFormatPr defaultRowHeight="12.5" x14ac:dyDescent="0.25"/>
  <cols>
    <col min="1" max="1" width="25" customWidth="1"/>
    <col min="2" max="2" width="13.453125" customWidth="1"/>
    <col min="7" max="8" width="9.26953125" customWidth="1"/>
    <col min="10" max="10" width="12.81640625" customWidth="1"/>
  </cols>
  <sheetData>
    <row r="1" spans="1:3" x14ac:dyDescent="0.25">
      <c r="A1" s="1" t="s">
        <v>0</v>
      </c>
    </row>
    <row r="2" spans="1:3" ht="13" x14ac:dyDescent="0.3">
      <c r="A2" s="2" t="s">
        <v>2</v>
      </c>
    </row>
    <row r="3" spans="1:3" ht="13" x14ac:dyDescent="0.3">
      <c r="A3" s="31"/>
    </row>
    <row r="4" spans="1:3" ht="15.5" x14ac:dyDescent="0.35">
      <c r="A4" s="244" t="s">
        <v>491</v>
      </c>
      <c r="C4" s="34"/>
    </row>
    <row r="5" spans="1:3" x14ac:dyDescent="0.25">
      <c r="A5" s="245" t="s">
        <v>492</v>
      </c>
      <c r="B5" s="246">
        <v>1558</v>
      </c>
    </row>
    <row r="6" spans="1:3" x14ac:dyDescent="0.25">
      <c r="A6" s="7" t="s">
        <v>493</v>
      </c>
      <c r="B6" s="247">
        <v>0.13700000000000001</v>
      </c>
    </row>
    <row r="7" spans="1:3" x14ac:dyDescent="0.25">
      <c r="A7" s="7" t="s">
        <v>494</v>
      </c>
      <c r="B7" s="8">
        <v>21</v>
      </c>
    </row>
    <row r="8" spans="1:3" ht="13" x14ac:dyDescent="0.3">
      <c r="A8" s="10" t="s">
        <v>495</v>
      </c>
      <c r="B8" s="248">
        <f>-PV(B6/12,B7,B5)</f>
        <v>28945.506221019983</v>
      </c>
    </row>
    <row r="10" spans="1:3" x14ac:dyDescent="0.25">
      <c r="A10" s="245" t="s">
        <v>496</v>
      </c>
      <c r="B10" s="246">
        <v>2486</v>
      </c>
    </row>
    <row r="11" spans="1:3" x14ac:dyDescent="0.25">
      <c r="A11" s="7" t="s">
        <v>493</v>
      </c>
      <c r="B11" s="247">
        <v>0.12</v>
      </c>
    </row>
    <row r="12" spans="1:3" x14ac:dyDescent="0.25">
      <c r="A12" s="7" t="s">
        <v>494</v>
      </c>
      <c r="B12" s="8">
        <v>10</v>
      </c>
    </row>
    <row r="13" spans="1:3" ht="13" x14ac:dyDescent="0.3">
      <c r="A13" s="10" t="s">
        <v>495</v>
      </c>
      <c r="B13" s="248">
        <f>-PV(B11,B12,B10)</f>
        <v>14046.454448629414</v>
      </c>
    </row>
    <row r="16" spans="1:3" ht="15.5" x14ac:dyDescent="0.35">
      <c r="A16" s="249" t="s">
        <v>497</v>
      </c>
      <c r="C16" s="34"/>
    </row>
    <row r="17" spans="1:11" x14ac:dyDescent="0.25">
      <c r="A17" s="7" t="s">
        <v>498</v>
      </c>
      <c r="B17" s="246">
        <v>7875</v>
      </c>
    </row>
    <row r="18" spans="1:11" x14ac:dyDescent="0.25">
      <c r="A18" s="7" t="s">
        <v>493</v>
      </c>
      <c r="B18" s="247">
        <v>6.6000000000000003E-2</v>
      </c>
      <c r="D18" s="250"/>
    </row>
    <row r="19" spans="1:11" x14ac:dyDescent="0.25">
      <c r="A19" s="7" t="s">
        <v>494</v>
      </c>
      <c r="B19" s="8">
        <v>14</v>
      </c>
    </row>
    <row r="20" spans="1:11" ht="13" x14ac:dyDescent="0.3">
      <c r="A20" s="251" t="s">
        <v>492</v>
      </c>
      <c r="B20" s="248">
        <f>-PMT(B18/12,B19,B17)</f>
        <v>585.97884406348476</v>
      </c>
    </row>
    <row r="22" spans="1:11" x14ac:dyDescent="0.25">
      <c r="A22" s="7" t="s">
        <v>498</v>
      </c>
      <c r="B22" s="246">
        <v>6159</v>
      </c>
    </row>
    <row r="23" spans="1:11" x14ac:dyDescent="0.25">
      <c r="A23" s="7" t="s">
        <v>493</v>
      </c>
      <c r="B23" s="247">
        <v>0.108</v>
      </c>
    </row>
    <row r="24" spans="1:11" x14ac:dyDescent="0.25">
      <c r="A24" s="7" t="s">
        <v>494</v>
      </c>
      <c r="B24" s="8">
        <v>6</v>
      </c>
    </row>
    <row r="25" spans="1:11" ht="13" x14ac:dyDescent="0.3">
      <c r="A25" s="251" t="s">
        <v>496</v>
      </c>
      <c r="B25" s="248">
        <f>-PMT(B23,B24,B22)</f>
        <v>1447.4652534890624</v>
      </c>
    </row>
    <row r="27" spans="1:11" ht="15.5" x14ac:dyDescent="0.35">
      <c r="A27" s="252" t="s">
        <v>499</v>
      </c>
      <c r="B27" s="34"/>
      <c r="C27" s="34"/>
    </row>
    <row r="28" spans="1:11" x14ac:dyDescent="0.25">
      <c r="A28" s="7" t="s">
        <v>500</v>
      </c>
      <c r="B28" s="253">
        <f>IRR(B31:B222)</f>
        <v>0.12323646046688119</v>
      </c>
      <c r="D28" s="254">
        <f>SUM(B28)</f>
        <v>0.12323646046688119</v>
      </c>
      <c r="F28" s="255"/>
      <c r="G28" s="411" t="s">
        <v>501</v>
      </c>
      <c r="H28" s="411"/>
      <c r="I28" s="256"/>
      <c r="J28" s="256"/>
      <c r="K28" s="257"/>
    </row>
    <row r="29" spans="1:11" x14ac:dyDescent="0.25">
      <c r="F29" s="258"/>
      <c r="K29" s="259"/>
    </row>
    <row r="30" spans="1:11" ht="15.5" x14ac:dyDescent="0.35">
      <c r="A30" s="16" t="s">
        <v>502</v>
      </c>
      <c r="B30" s="70" t="s">
        <v>503</v>
      </c>
      <c r="F30" s="258"/>
      <c r="G30" s="260" t="s">
        <v>504</v>
      </c>
      <c r="H30" s="260" t="s">
        <v>505</v>
      </c>
      <c r="I30" s="260"/>
      <c r="J30" s="260"/>
      <c r="K30" s="259"/>
    </row>
    <row r="31" spans="1:11" ht="15.5" x14ac:dyDescent="0.35">
      <c r="A31">
        <v>0</v>
      </c>
      <c r="B31" s="69">
        <v>-6560</v>
      </c>
      <c r="F31" s="258"/>
      <c r="G31" s="260">
        <v>0</v>
      </c>
      <c r="H31" s="261">
        <v>-7870</v>
      </c>
      <c r="I31" s="260"/>
      <c r="J31" s="260"/>
      <c r="K31" s="259"/>
    </row>
    <row r="32" spans="1:11" ht="15.5" x14ac:dyDescent="0.35">
      <c r="A32">
        <v>1</v>
      </c>
      <c r="B32" s="69">
        <v>1323</v>
      </c>
      <c r="F32" s="258"/>
      <c r="G32" s="260">
        <v>1</v>
      </c>
      <c r="H32" s="261">
        <v>1878</v>
      </c>
      <c r="I32" s="260"/>
      <c r="J32" s="260"/>
      <c r="K32" s="259"/>
    </row>
    <row r="33" spans="1:11" ht="15.5" x14ac:dyDescent="0.35">
      <c r="A33">
        <v>2</v>
      </c>
      <c r="B33" s="69">
        <v>727</v>
      </c>
      <c r="F33" s="258"/>
      <c r="G33" s="260">
        <v>2</v>
      </c>
      <c r="H33" s="261">
        <v>1569</v>
      </c>
      <c r="I33" s="260"/>
      <c r="J33" s="260"/>
      <c r="K33" s="259"/>
    </row>
    <row r="34" spans="1:11" ht="15.5" x14ac:dyDescent="0.35">
      <c r="A34">
        <v>3</v>
      </c>
      <c r="B34" s="69">
        <v>1547</v>
      </c>
      <c r="F34" s="258"/>
      <c r="G34" s="260">
        <v>3</v>
      </c>
      <c r="H34" s="261">
        <v>1246</v>
      </c>
      <c r="I34" s="260"/>
      <c r="J34" s="262">
        <f>IRR(H31:H38)</f>
        <v>0.11707966863969643</v>
      </c>
      <c r="K34" s="259"/>
    </row>
    <row r="35" spans="1:11" ht="15.5" x14ac:dyDescent="0.35">
      <c r="A35">
        <v>4</v>
      </c>
      <c r="B35" s="69">
        <v>677</v>
      </c>
      <c r="F35" s="258"/>
      <c r="G35" s="260">
        <v>4</v>
      </c>
      <c r="H35" s="261">
        <v>1651</v>
      </c>
      <c r="I35" s="260"/>
      <c r="J35" s="260"/>
      <c r="K35" s="259"/>
    </row>
    <row r="36" spans="1:11" ht="15.5" x14ac:dyDescent="0.35">
      <c r="A36">
        <v>5</v>
      </c>
      <c r="B36" s="69">
        <v>1458</v>
      </c>
      <c r="F36" s="258"/>
      <c r="G36" s="260">
        <v>5</v>
      </c>
      <c r="H36" s="261">
        <v>2066</v>
      </c>
      <c r="I36" s="260"/>
      <c r="J36" s="260"/>
      <c r="K36" s="259"/>
    </row>
    <row r="37" spans="1:11" ht="15.5" x14ac:dyDescent="0.35">
      <c r="A37">
        <v>6</v>
      </c>
      <c r="B37" s="69">
        <v>788</v>
      </c>
      <c r="F37" s="258"/>
      <c r="G37" s="260">
        <v>6</v>
      </c>
      <c r="H37" s="261">
        <v>2116</v>
      </c>
      <c r="I37" s="260"/>
      <c r="J37" s="260"/>
      <c r="K37" s="259"/>
    </row>
    <row r="38" spans="1:11" ht="15.5" x14ac:dyDescent="0.35">
      <c r="A38">
        <v>7</v>
      </c>
      <c r="B38" s="69">
        <v>1214</v>
      </c>
      <c r="F38" s="258"/>
      <c r="G38" s="260">
        <v>7</v>
      </c>
      <c r="H38" s="261">
        <v>1521</v>
      </c>
      <c r="I38" s="260"/>
      <c r="J38" s="263"/>
      <c r="K38" s="259"/>
    </row>
    <row r="39" spans="1:11" x14ac:dyDescent="0.25">
      <c r="A39">
        <v>8</v>
      </c>
      <c r="B39" s="69">
        <v>1379</v>
      </c>
      <c r="F39" s="258"/>
      <c r="K39" s="259"/>
    </row>
    <row r="40" spans="1:11" x14ac:dyDescent="0.25">
      <c r="A40">
        <v>9</v>
      </c>
      <c r="B40" s="69">
        <v>1491</v>
      </c>
      <c r="F40" s="99"/>
      <c r="G40" s="119"/>
      <c r="H40" s="119"/>
      <c r="I40" s="119"/>
      <c r="J40" s="119"/>
      <c r="K40" s="264"/>
    </row>
    <row r="41" spans="1:11" x14ac:dyDescent="0.25">
      <c r="A41">
        <v>10</v>
      </c>
      <c r="B41" s="69">
        <v>1518</v>
      </c>
    </row>
    <row r="42" spans="1:11" x14ac:dyDescent="0.25">
      <c r="A42">
        <v>11</v>
      </c>
      <c r="B42" s="69"/>
    </row>
    <row r="43" spans="1:11" x14ac:dyDescent="0.25">
      <c r="A43">
        <v>12</v>
      </c>
      <c r="B43" s="69"/>
    </row>
    <row r="44" spans="1:11" x14ac:dyDescent="0.25">
      <c r="A44">
        <v>13</v>
      </c>
      <c r="B44" s="69"/>
    </row>
    <row r="45" spans="1:11" x14ac:dyDescent="0.25">
      <c r="A45">
        <v>14</v>
      </c>
      <c r="B45" s="69"/>
    </row>
    <row r="46" spans="1:11" x14ac:dyDescent="0.25">
      <c r="A46">
        <v>15</v>
      </c>
      <c r="B46" s="69"/>
    </row>
    <row r="47" spans="1:11" x14ac:dyDescent="0.25">
      <c r="A47">
        <v>16</v>
      </c>
      <c r="B47" s="69"/>
    </row>
    <row r="48" spans="1:11" x14ac:dyDescent="0.25">
      <c r="A48">
        <v>17</v>
      </c>
      <c r="B48" s="69"/>
    </row>
    <row r="49" spans="1:2" x14ac:dyDescent="0.25">
      <c r="A49">
        <v>18</v>
      </c>
      <c r="B49" s="69"/>
    </row>
    <row r="50" spans="1:2" x14ac:dyDescent="0.25">
      <c r="A50">
        <v>19</v>
      </c>
      <c r="B50" s="69"/>
    </row>
    <row r="51" spans="1:2" x14ac:dyDescent="0.25">
      <c r="A51">
        <v>20</v>
      </c>
      <c r="B51" s="69"/>
    </row>
    <row r="52" spans="1:2" x14ac:dyDescent="0.25">
      <c r="A52">
        <v>21</v>
      </c>
      <c r="B52" s="69"/>
    </row>
    <row r="53" spans="1:2" x14ac:dyDescent="0.25">
      <c r="A53">
        <v>22</v>
      </c>
      <c r="B53" s="69"/>
    </row>
    <row r="54" spans="1:2" x14ac:dyDescent="0.25">
      <c r="A54">
        <v>23</v>
      </c>
      <c r="B54" s="69"/>
    </row>
    <row r="55" spans="1:2" x14ac:dyDescent="0.25">
      <c r="A55">
        <v>24</v>
      </c>
      <c r="B55" s="69"/>
    </row>
    <row r="56" spans="1:2" x14ac:dyDescent="0.25">
      <c r="A56">
        <v>25</v>
      </c>
      <c r="B56" s="69"/>
    </row>
    <row r="57" spans="1:2" x14ac:dyDescent="0.25">
      <c r="A57">
        <v>26</v>
      </c>
      <c r="B57" s="69"/>
    </row>
    <row r="58" spans="1:2" x14ac:dyDescent="0.25">
      <c r="A58">
        <v>27</v>
      </c>
      <c r="B58" s="69"/>
    </row>
    <row r="59" spans="1:2" x14ac:dyDescent="0.25">
      <c r="A59">
        <v>28</v>
      </c>
      <c r="B59" s="69"/>
    </row>
    <row r="60" spans="1:2" x14ac:dyDescent="0.25">
      <c r="A60">
        <v>29</v>
      </c>
      <c r="B60" s="69"/>
    </row>
    <row r="61" spans="1:2" x14ac:dyDescent="0.25">
      <c r="A61">
        <v>30</v>
      </c>
      <c r="B61" s="69"/>
    </row>
    <row r="62" spans="1:2" x14ac:dyDescent="0.25">
      <c r="A62">
        <v>31</v>
      </c>
      <c r="B62" s="69"/>
    </row>
    <row r="63" spans="1:2" x14ac:dyDescent="0.25">
      <c r="A63">
        <v>32</v>
      </c>
      <c r="B63" s="69"/>
    </row>
    <row r="64" spans="1:2" x14ac:dyDescent="0.25">
      <c r="A64">
        <v>33</v>
      </c>
      <c r="B64" s="69"/>
    </row>
    <row r="65" spans="1:2" x14ac:dyDescent="0.25">
      <c r="A65">
        <v>34</v>
      </c>
      <c r="B65" s="69"/>
    </row>
    <row r="66" spans="1:2" x14ac:dyDescent="0.25">
      <c r="A66">
        <v>35</v>
      </c>
      <c r="B66" s="69"/>
    </row>
    <row r="67" spans="1:2" x14ac:dyDescent="0.25">
      <c r="A67">
        <v>36</v>
      </c>
      <c r="B67" s="69"/>
    </row>
    <row r="68" spans="1:2" x14ac:dyDescent="0.25">
      <c r="A68">
        <v>37</v>
      </c>
      <c r="B68" s="69"/>
    </row>
    <row r="69" spans="1:2" x14ac:dyDescent="0.25">
      <c r="A69">
        <v>38</v>
      </c>
      <c r="B69" s="69"/>
    </row>
    <row r="70" spans="1:2" x14ac:dyDescent="0.25">
      <c r="A70">
        <v>39</v>
      </c>
      <c r="B70" s="69"/>
    </row>
    <row r="71" spans="1:2" x14ac:dyDescent="0.25">
      <c r="A71">
        <v>40</v>
      </c>
      <c r="B71" s="69"/>
    </row>
    <row r="72" spans="1:2" x14ac:dyDescent="0.25">
      <c r="A72">
        <v>41</v>
      </c>
      <c r="B72" s="69"/>
    </row>
    <row r="73" spans="1:2" x14ac:dyDescent="0.25">
      <c r="A73">
        <v>42</v>
      </c>
      <c r="B73" s="69"/>
    </row>
    <row r="74" spans="1:2" x14ac:dyDescent="0.25">
      <c r="A74">
        <v>43</v>
      </c>
      <c r="B74" s="69"/>
    </row>
    <row r="75" spans="1:2" x14ac:dyDescent="0.25">
      <c r="A75">
        <v>44</v>
      </c>
      <c r="B75" s="69"/>
    </row>
    <row r="76" spans="1:2" x14ac:dyDescent="0.25">
      <c r="A76">
        <v>45</v>
      </c>
      <c r="B76" s="69"/>
    </row>
    <row r="77" spans="1:2" x14ac:dyDescent="0.25">
      <c r="A77">
        <v>46</v>
      </c>
      <c r="B77" s="69"/>
    </row>
    <row r="78" spans="1:2" x14ac:dyDescent="0.25">
      <c r="A78">
        <v>47</v>
      </c>
      <c r="B78" s="69"/>
    </row>
    <row r="79" spans="1:2" x14ac:dyDescent="0.25">
      <c r="A79">
        <v>48</v>
      </c>
      <c r="B79" s="69"/>
    </row>
    <row r="80" spans="1:2" x14ac:dyDescent="0.25">
      <c r="A80">
        <v>49</v>
      </c>
      <c r="B80" s="69"/>
    </row>
    <row r="81" spans="1:2" x14ac:dyDescent="0.25">
      <c r="A81">
        <v>50</v>
      </c>
      <c r="B81" s="69"/>
    </row>
    <row r="82" spans="1:2" x14ac:dyDescent="0.25">
      <c r="A82">
        <v>51</v>
      </c>
      <c r="B82" s="69"/>
    </row>
    <row r="83" spans="1:2" x14ac:dyDescent="0.25">
      <c r="A83">
        <v>52</v>
      </c>
      <c r="B83" s="69"/>
    </row>
    <row r="84" spans="1:2" x14ac:dyDescent="0.25">
      <c r="A84">
        <v>53</v>
      </c>
      <c r="B84" s="69"/>
    </row>
    <row r="85" spans="1:2" x14ac:dyDescent="0.25">
      <c r="A85">
        <v>54</v>
      </c>
      <c r="B85" s="69"/>
    </row>
    <row r="86" spans="1:2" x14ac:dyDescent="0.25">
      <c r="A86">
        <v>55</v>
      </c>
      <c r="B86" s="69"/>
    </row>
    <row r="87" spans="1:2" x14ac:dyDescent="0.25">
      <c r="A87">
        <v>56</v>
      </c>
      <c r="B87" s="69"/>
    </row>
    <row r="88" spans="1:2" x14ac:dyDescent="0.25">
      <c r="A88">
        <v>57</v>
      </c>
      <c r="B88" s="69"/>
    </row>
    <row r="89" spans="1:2" x14ac:dyDescent="0.25">
      <c r="A89">
        <v>58</v>
      </c>
      <c r="B89" s="69"/>
    </row>
    <row r="90" spans="1:2" x14ac:dyDescent="0.25">
      <c r="A90">
        <v>59</v>
      </c>
      <c r="B90" s="69"/>
    </row>
    <row r="91" spans="1:2" x14ac:dyDescent="0.25">
      <c r="A91">
        <v>60</v>
      </c>
      <c r="B91" s="69"/>
    </row>
    <row r="92" spans="1:2" x14ac:dyDescent="0.25">
      <c r="A92">
        <v>61</v>
      </c>
      <c r="B92" s="69"/>
    </row>
    <row r="93" spans="1:2" x14ac:dyDescent="0.25">
      <c r="A93">
        <v>62</v>
      </c>
      <c r="B93" s="69"/>
    </row>
    <row r="94" spans="1:2" x14ac:dyDescent="0.25">
      <c r="A94">
        <v>63</v>
      </c>
      <c r="B94" s="69"/>
    </row>
    <row r="95" spans="1:2" x14ac:dyDescent="0.25">
      <c r="A95">
        <v>64</v>
      </c>
      <c r="B95" s="69"/>
    </row>
    <row r="96" spans="1:2" x14ac:dyDescent="0.25">
      <c r="A96">
        <v>65</v>
      </c>
      <c r="B96" s="69"/>
    </row>
    <row r="97" spans="1:2" x14ac:dyDescent="0.25">
      <c r="A97">
        <v>66</v>
      </c>
      <c r="B97" s="69"/>
    </row>
    <row r="98" spans="1:2" x14ac:dyDescent="0.25">
      <c r="A98">
        <v>67</v>
      </c>
      <c r="B98" s="69"/>
    </row>
    <row r="99" spans="1:2" x14ac:dyDescent="0.25">
      <c r="A99">
        <v>68</v>
      </c>
      <c r="B99" s="69"/>
    </row>
    <row r="100" spans="1:2" x14ac:dyDescent="0.25">
      <c r="A100">
        <v>69</v>
      </c>
      <c r="B100" s="69"/>
    </row>
    <row r="101" spans="1:2" x14ac:dyDescent="0.25">
      <c r="A101">
        <v>70</v>
      </c>
      <c r="B101" s="69"/>
    </row>
    <row r="102" spans="1:2" x14ac:dyDescent="0.25">
      <c r="A102">
        <v>71</v>
      </c>
      <c r="B102" s="69"/>
    </row>
    <row r="103" spans="1:2" x14ac:dyDescent="0.25">
      <c r="A103">
        <v>72</v>
      </c>
      <c r="B103" s="69"/>
    </row>
    <row r="104" spans="1:2" x14ac:dyDescent="0.25">
      <c r="A104">
        <v>73</v>
      </c>
      <c r="B104" s="69"/>
    </row>
    <row r="105" spans="1:2" x14ac:dyDescent="0.25">
      <c r="A105">
        <v>74</v>
      </c>
      <c r="B105" s="69"/>
    </row>
    <row r="106" spans="1:2" x14ac:dyDescent="0.25">
      <c r="A106">
        <v>75</v>
      </c>
      <c r="B106" s="69"/>
    </row>
    <row r="107" spans="1:2" x14ac:dyDescent="0.25">
      <c r="A107">
        <v>76</v>
      </c>
      <c r="B107" s="69"/>
    </row>
    <row r="108" spans="1:2" x14ac:dyDescent="0.25">
      <c r="A108">
        <v>77</v>
      </c>
      <c r="B108" s="69"/>
    </row>
    <row r="109" spans="1:2" x14ac:dyDescent="0.25">
      <c r="A109">
        <v>78</v>
      </c>
      <c r="B109" s="69"/>
    </row>
    <row r="110" spans="1:2" x14ac:dyDescent="0.25">
      <c r="A110">
        <v>79</v>
      </c>
      <c r="B110" s="69"/>
    </row>
    <row r="111" spans="1:2" x14ac:dyDescent="0.25">
      <c r="A111">
        <v>80</v>
      </c>
      <c r="B111" s="69"/>
    </row>
    <row r="112" spans="1:2" x14ac:dyDescent="0.25">
      <c r="A112">
        <v>81</v>
      </c>
      <c r="B112" s="69"/>
    </row>
    <row r="113" spans="1:2" x14ac:dyDescent="0.25">
      <c r="A113">
        <v>82</v>
      </c>
      <c r="B113" s="69"/>
    </row>
    <row r="114" spans="1:2" x14ac:dyDescent="0.25">
      <c r="A114">
        <v>83</v>
      </c>
      <c r="B114" s="69"/>
    </row>
    <row r="115" spans="1:2" x14ac:dyDescent="0.25">
      <c r="A115">
        <v>84</v>
      </c>
      <c r="B115" s="69"/>
    </row>
    <row r="116" spans="1:2" x14ac:dyDescent="0.25">
      <c r="A116">
        <v>85</v>
      </c>
      <c r="B116" s="69"/>
    </row>
    <row r="117" spans="1:2" x14ac:dyDescent="0.25">
      <c r="A117">
        <v>86</v>
      </c>
      <c r="B117" s="69"/>
    </row>
    <row r="118" spans="1:2" x14ac:dyDescent="0.25">
      <c r="A118">
        <v>87</v>
      </c>
      <c r="B118" s="69"/>
    </row>
    <row r="119" spans="1:2" x14ac:dyDescent="0.25">
      <c r="A119">
        <v>88</v>
      </c>
      <c r="B119" s="69"/>
    </row>
    <row r="120" spans="1:2" x14ac:dyDescent="0.25">
      <c r="A120">
        <v>89</v>
      </c>
      <c r="B120" s="69"/>
    </row>
    <row r="121" spans="1:2" x14ac:dyDescent="0.25">
      <c r="A121">
        <v>90</v>
      </c>
      <c r="B121" s="69"/>
    </row>
    <row r="122" spans="1:2" x14ac:dyDescent="0.25">
      <c r="A122">
        <v>91</v>
      </c>
      <c r="B122" s="69"/>
    </row>
    <row r="123" spans="1:2" x14ac:dyDescent="0.25">
      <c r="A123">
        <v>92</v>
      </c>
      <c r="B123" s="69"/>
    </row>
    <row r="124" spans="1:2" x14ac:dyDescent="0.25">
      <c r="A124">
        <v>93</v>
      </c>
      <c r="B124" s="69"/>
    </row>
    <row r="125" spans="1:2" x14ac:dyDescent="0.25">
      <c r="A125">
        <v>94</v>
      </c>
      <c r="B125" s="69"/>
    </row>
    <row r="126" spans="1:2" x14ac:dyDescent="0.25">
      <c r="A126">
        <v>95</v>
      </c>
      <c r="B126" s="69"/>
    </row>
    <row r="127" spans="1:2" x14ac:dyDescent="0.25">
      <c r="A127">
        <v>96</v>
      </c>
      <c r="B127" s="69"/>
    </row>
    <row r="128" spans="1:2" x14ac:dyDescent="0.25">
      <c r="A128">
        <v>97</v>
      </c>
      <c r="B128" s="69"/>
    </row>
    <row r="129" spans="1:2" x14ac:dyDescent="0.25">
      <c r="A129">
        <v>98</v>
      </c>
      <c r="B129" s="69"/>
    </row>
    <row r="130" spans="1:2" x14ac:dyDescent="0.25">
      <c r="A130">
        <v>99</v>
      </c>
      <c r="B130" s="69"/>
    </row>
    <row r="131" spans="1:2" x14ac:dyDescent="0.25">
      <c r="A131">
        <v>100</v>
      </c>
      <c r="B131" s="69"/>
    </row>
    <row r="132" spans="1:2" x14ac:dyDescent="0.25">
      <c r="A132">
        <v>101</v>
      </c>
      <c r="B132" s="69"/>
    </row>
    <row r="133" spans="1:2" x14ac:dyDescent="0.25">
      <c r="A133">
        <v>102</v>
      </c>
      <c r="B133" s="69"/>
    </row>
    <row r="134" spans="1:2" x14ac:dyDescent="0.25">
      <c r="A134">
        <v>103</v>
      </c>
      <c r="B134" s="69"/>
    </row>
    <row r="135" spans="1:2" x14ac:dyDescent="0.25">
      <c r="A135">
        <v>104</v>
      </c>
      <c r="B135" s="69"/>
    </row>
    <row r="136" spans="1:2" x14ac:dyDescent="0.25">
      <c r="A136">
        <v>105</v>
      </c>
      <c r="B136" s="69"/>
    </row>
    <row r="137" spans="1:2" x14ac:dyDescent="0.25">
      <c r="A137">
        <v>106</v>
      </c>
      <c r="B137" s="69"/>
    </row>
    <row r="138" spans="1:2" x14ac:dyDescent="0.25">
      <c r="A138">
        <v>107</v>
      </c>
      <c r="B138" s="69"/>
    </row>
    <row r="139" spans="1:2" x14ac:dyDescent="0.25">
      <c r="A139">
        <v>108</v>
      </c>
      <c r="B139" s="69"/>
    </row>
    <row r="140" spans="1:2" x14ac:dyDescent="0.25">
      <c r="A140">
        <v>109</v>
      </c>
      <c r="B140" s="69"/>
    </row>
    <row r="141" spans="1:2" x14ac:dyDescent="0.25">
      <c r="A141">
        <v>110</v>
      </c>
      <c r="B141" s="69"/>
    </row>
    <row r="142" spans="1:2" x14ac:dyDescent="0.25">
      <c r="A142">
        <v>111</v>
      </c>
      <c r="B142" s="69"/>
    </row>
    <row r="143" spans="1:2" x14ac:dyDescent="0.25">
      <c r="A143">
        <v>112</v>
      </c>
      <c r="B143" s="69"/>
    </row>
    <row r="144" spans="1:2" x14ac:dyDescent="0.25">
      <c r="A144">
        <v>113</v>
      </c>
      <c r="B144" s="69"/>
    </row>
    <row r="145" spans="1:2" x14ac:dyDescent="0.25">
      <c r="A145">
        <v>114</v>
      </c>
      <c r="B145" s="69"/>
    </row>
    <row r="146" spans="1:2" x14ac:dyDescent="0.25">
      <c r="A146">
        <v>115</v>
      </c>
      <c r="B146" s="69"/>
    </row>
    <row r="147" spans="1:2" x14ac:dyDescent="0.25">
      <c r="A147">
        <v>116</v>
      </c>
      <c r="B147" s="69"/>
    </row>
    <row r="148" spans="1:2" x14ac:dyDescent="0.25">
      <c r="A148">
        <v>117</v>
      </c>
      <c r="B148" s="69"/>
    </row>
    <row r="149" spans="1:2" x14ac:dyDescent="0.25">
      <c r="A149">
        <v>118</v>
      </c>
      <c r="B149" s="69"/>
    </row>
    <row r="150" spans="1:2" x14ac:dyDescent="0.25">
      <c r="A150">
        <v>119</v>
      </c>
      <c r="B150" s="69"/>
    </row>
    <row r="151" spans="1:2" x14ac:dyDescent="0.25">
      <c r="A151">
        <v>120</v>
      </c>
      <c r="B151" s="69"/>
    </row>
    <row r="152" spans="1:2" x14ac:dyDescent="0.25">
      <c r="A152">
        <v>121</v>
      </c>
      <c r="B152" s="69"/>
    </row>
    <row r="153" spans="1:2" x14ac:dyDescent="0.25">
      <c r="A153">
        <v>122</v>
      </c>
      <c r="B153" s="69"/>
    </row>
    <row r="154" spans="1:2" x14ac:dyDescent="0.25">
      <c r="A154">
        <v>123</v>
      </c>
      <c r="B154" s="69"/>
    </row>
    <row r="155" spans="1:2" x14ac:dyDescent="0.25">
      <c r="A155">
        <v>124</v>
      </c>
      <c r="B155" s="69"/>
    </row>
    <row r="156" spans="1:2" x14ac:dyDescent="0.25">
      <c r="A156">
        <v>125</v>
      </c>
      <c r="B156" s="69"/>
    </row>
    <row r="157" spans="1:2" x14ac:dyDescent="0.25">
      <c r="A157">
        <v>126</v>
      </c>
      <c r="B157" s="69"/>
    </row>
    <row r="158" spans="1:2" x14ac:dyDescent="0.25">
      <c r="A158">
        <v>127</v>
      </c>
      <c r="B158" s="69"/>
    </row>
    <row r="159" spans="1:2" x14ac:dyDescent="0.25">
      <c r="A159">
        <v>128</v>
      </c>
      <c r="B159" s="69"/>
    </row>
    <row r="160" spans="1:2" x14ac:dyDescent="0.25">
      <c r="A160">
        <v>129</v>
      </c>
      <c r="B160" s="69"/>
    </row>
    <row r="161" spans="1:2" x14ac:dyDescent="0.25">
      <c r="A161">
        <v>130</v>
      </c>
      <c r="B161" s="69"/>
    </row>
    <row r="162" spans="1:2" x14ac:dyDescent="0.25">
      <c r="A162">
        <v>131</v>
      </c>
      <c r="B162" s="69"/>
    </row>
    <row r="163" spans="1:2" x14ac:dyDescent="0.25">
      <c r="A163">
        <v>132</v>
      </c>
      <c r="B163" s="69"/>
    </row>
    <row r="164" spans="1:2" x14ac:dyDescent="0.25">
      <c r="A164">
        <v>133</v>
      </c>
      <c r="B164" s="69"/>
    </row>
    <row r="165" spans="1:2" x14ac:dyDescent="0.25">
      <c r="A165">
        <v>134</v>
      </c>
      <c r="B165" s="69"/>
    </row>
    <row r="166" spans="1:2" x14ac:dyDescent="0.25">
      <c r="A166">
        <v>135</v>
      </c>
      <c r="B166" s="69"/>
    </row>
    <row r="167" spans="1:2" x14ac:dyDescent="0.25">
      <c r="A167">
        <v>136</v>
      </c>
      <c r="B167" s="69"/>
    </row>
    <row r="168" spans="1:2" x14ac:dyDescent="0.25">
      <c r="A168">
        <v>137</v>
      </c>
      <c r="B168" s="69"/>
    </row>
    <row r="169" spans="1:2" x14ac:dyDescent="0.25">
      <c r="A169">
        <v>138</v>
      </c>
      <c r="B169" s="69"/>
    </row>
    <row r="170" spans="1:2" x14ac:dyDescent="0.25">
      <c r="A170">
        <v>139</v>
      </c>
      <c r="B170" s="69"/>
    </row>
    <row r="171" spans="1:2" x14ac:dyDescent="0.25">
      <c r="A171">
        <v>140</v>
      </c>
      <c r="B171" s="69"/>
    </row>
    <row r="172" spans="1:2" x14ac:dyDescent="0.25">
      <c r="A172">
        <v>141</v>
      </c>
      <c r="B172" s="69"/>
    </row>
    <row r="173" spans="1:2" x14ac:dyDescent="0.25">
      <c r="A173">
        <v>142</v>
      </c>
      <c r="B173" s="69"/>
    </row>
    <row r="174" spans="1:2" x14ac:dyDescent="0.25">
      <c r="A174">
        <v>143</v>
      </c>
      <c r="B174" s="69"/>
    </row>
    <row r="175" spans="1:2" x14ac:dyDescent="0.25">
      <c r="A175">
        <v>144</v>
      </c>
      <c r="B175" s="69"/>
    </row>
    <row r="176" spans="1:2" x14ac:dyDescent="0.25">
      <c r="A176">
        <v>145</v>
      </c>
      <c r="B176" s="69"/>
    </row>
    <row r="177" spans="1:2" x14ac:dyDescent="0.25">
      <c r="A177">
        <v>146</v>
      </c>
      <c r="B177" s="69"/>
    </row>
    <row r="178" spans="1:2" x14ac:dyDescent="0.25">
      <c r="A178">
        <v>147</v>
      </c>
      <c r="B178" s="69"/>
    </row>
    <row r="179" spans="1:2" x14ac:dyDescent="0.25">
      <c r="A179">
        <v>148</v>
      </c>
      <c r="B179" s="69"/>
    </row>
    <row r="180" spans="1:2" x14ac:dyDescent="0.25">
      <c r="A180">
        <v>149</v>
      </c>
      <c r="B180" s="69"/>
    </row>
    <row r="181" spans="1:2" x14ac:dyDescent="0.25">
      <c r="A181">
        <v>150</v>
      </c>
      <c r="B181" s="69"/>
    </row>
    <row r="182" spans="1:2" x14ac:dyDescent="0.25">
      <c r="A182">
        <v>151</v>
      </c>
      <c r="B182" s="69"/>
    </row>
    <row r="183" spans="1:2" x14ac:dyDescent="0.25">
      <c r="A183">
        <v>152</v>
      </c>
      <c r="B183" s="69"/>
    </row>
    <row r="184" spans="1:2" x14ac:dyDescent="0.25">
      <c r="A184">
        <v>153</v>
      </c>
      <c r="B184" s="69"/>
    </row>
    <row r="185" spans="1:2" x14ac:dyDescent="0.25">
      <c r="A185">
        <v>154</v>
      </c>
      <c r="B185" s="69"/>
    </row>
    <row r="186" spans="1:2" x14ac:dyDescent="0.25">
      <c r="A186">
        <v>155</v>
      </c>
      <c r="B186" s="69"/>
    </row>
    <row r="187" spans="1:2" x14ac:dyDescent="0.25">
      <c r="A187">
        <v>156</v>
      </c>
      <c r="B187" s="69"/>
    </row>
    <row r="188" spans="1:2" x14ac:dyDescent="0.25">
      <c r="A188">
        <v>157</v>
      </c>
      <c r="B188" s="69"/>
    </row>
    <row r="189" spans="1:2" x14ac:dyDescent="0.25">
      <c r="A189">
        <v>158</v>
      </c>
      <c r="B189" s="69"/>
    </row>
    <row r="190" spans="1:2" x14ac:dyDescent="0.25">
      <c r="A190">
        <v>159</v>
      </c>
      <c r="B190" s="69"/>
    </row>
    <row r="191" spans="1:2" x14ac:dyDescent="0.25">
      <c r="A191">
        <v>160</v>
      </c>
      <c r="B191" s="69"/>
    </row>
    <row r="192" spans="1:2" x14ac:dyDescent="0.25">
      <c r="A192">
        <v>161</v>
      </c>
      <c r="B192" s="69"/>
    </row>
    <row r="193" spans="1:2" x14ac:dyDescent="0.25">
      <c r="A193">
        <v>162</v>
      </c>
      <c r="B193" s="69"/>
    </row>
    <row r="194" spans="1:2" x14ac:dyDescent="0.25">
      <c r="A194">
        <v>163</v>
      </c>
      <c r="B194" s="69"/>
    </row>
    <row r="195" spans="1:2" x14ac:dyDescent="0.25">
      <c r="A195">
        <v>164</v>
      </c>
      <c r="B195" s="69"/>
    </row>
    <row r="196" spans="1:2" x14ac:dyDescent="0.25">
      <c r="A196">
        <v>165</v>
      </c>
      <c r="B196" s="69"/>
    </row>
    <row r="197" spans="1:2" x14ac:dyDescent="0.25">
      <c r="A197">
        <v>166</v>
      </c>
      <c r="B197" s="69"/>
    </row>
    <row r="198" spans="1:2" x14ac:dyDescent="0.25">
      <c r="A198">
        <v>167</v>
      </c>
      <c r="B198" s="69"/>
    </row>
    <row r="199" spans="1:2" x14ac:dyDescent="0.25">
      <c r="A199">
        <v>168</v>
      </c>
      <c r="B199" s="69"/>
    </row>
    <row r="200" spans="1:2" x14ac:dyDescent="0.25">
      <c r="A200">
        <v>169</v>
      </c>
      <c r="B200" s="69"/>
    </row>
    <row r="201" spans="1:2" x14ac:dyDescent="0.25">
      <c r="A201">
        <v>170</v>
      </c>
      <c r="B201" s="69"/>
    </row>
    <row r="202" spans="1:2" x14ac:dyDescent="0.25">
      <c r="A202">
        <v>171</v>
      </c>
      <c r="B202" s="69"/>
    </row>
    <row r="203" spans="1:2" x14ac:dyDescent="0.25">
      <c r="A203">
        <v>172</v>
      </c>
      <c r="B203" s="69"/>
    </row>
    <row r="204" spans="1:2" x14ac:dyDescent="0.25">
      <c r="A204">
        <v>173</v>
      </c>
      <c r="B204" s="69"/>
    </row>
    <row r="205" spans="1:2" x14ac:dyDescent="0.25">
      <c r="A205">
        <v>174</v>
      </c>
      <c r="B205" s="69"/>
    </row>
    <row r="206" spans="1:2" x14ac:dyDescent="0.25">
      <c r="A206">
        <v>175</v>
      </c>
      <c r="B206" s="69"/>
    </row>
    <row r="207" spans="1:2" x14ac:dyDescent="0.25">
      <c r="A207">
        <v>176</v>
      </c>
      <c r="B207" s="69"/>
    </row>
    <row r="208" spans="1:2" x14ac:dyDescent="0.25">
      <c r="A208">
        <v>177</v>
      </c>
      <c r="B208" s="69"/>
    </row>
    <row r="209" spans="1:2" x14ac:dyDescent="0.25">
      <c r="A209">
        <v>178</v>
      </c>
      <c r="B209" s="69"/>
    </row>
    <row r="210" spans="1:2" x14ac:dyDescent="0.25">
      <c r="A210">
        <v>179</v>
      </c>
      <c r="B210" s="69"/>
    </row>
    <row r="211" spans="1:2" x14ac:dyDescent="0.25">
      <c r="A211">
        <v>180</v>
      </c>
      <c r="B211" s="69"/>
    </row>
    <row r="212" spans="1:2" x14ac:dyDescent="0.25">
      <c r="A212">
        <v>181</v>
      </c>
      <c r="B212" s="69"/>
    </row>
    <row r="213" spans="1:2" x14ac:dyDescent="0.25">
      <c r="A213">
        <v>182</v>
      </c>
      <c r="B213" s="69"/>
    </row>
    <row r="214" spans="1:2" x14ac:dyDescent="0.25">
      <c r="A214">
        <v>183</v>
      </c>
      <c r="B214" s="69"/>
    </row>
    <row r="215" spans="1:2" x14ac:dyDescent="0.25">
      <c r="A215">
        <v>184</v>
      </c>
      <c r="B215" s="69"/>
    </row>
    <row r="216" spans="1:2" x14ac:dyDescent="0.25">
      <c r="A216">
        <v>185</v>
      </c>
      <c r="B216" s="69"/>
    </row>
    <row r="217" spans="1:2" x14ac:dyDescent="0.25">
      <c r="A217">
        <v>186</v>
      </c>
      <c r="B217" s="69"/>
    </row>
    <row r="218" spans="1:2" x14ac:dyDescent="0.25">
      <c r="A218">
        <v>187</v>
      </c>
      <c r="B218" s="69"/>
    </row>
    <row r="219" spans="1:2" x14ac:dyDescent="0.25">
      <c r="A219">
        <v>188</v>
      </c>
      <c r="B219" s="69"/>
    </row>
    <row r="220" spans="1:2" x14ac:dyDescent="0.25">
      <c r="A220">
        <v>189</v>
      </c>
      <c r="B220" s="69"/>
    </row>
    <row r="221" spans="1:2" x14ac:dyDescent="0.25">
      <c r="A221">
        <v>190</v>
      </c>
      <c r="B221" s="69"/>
    </row>
    <row r="222" spans="1:2" x14ac:dyDescent="0.25">
      <c r="A222">
        <v>191</v>
      </c>
      <c r="B222" s="69"/>
    </row>
  </sheetData>
  <mergeCells count="1">
    <mergeCell ref="G28:H28"/>
  </mergeCells>
  <pageMargins left="0.75" right="0.75" top="1" bottom="1" header="0.51180555555555562" footer="0.51180555555555562"/>
  <pageSetup firstPageNumber="0" orientation="portrait" horizontalDpi="300" verticalDpi="300"/>
  <headerFooter alignWithMargins="0"/>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I33"/>
  <sheetViews>
    <sheetView showGridLines="0" zoomScale="85" zoomScaleNormal="85" workbookViewId="0">
      <selection activeCell="E20" sqref="E20"/>
    </sheetView>
  </sheetViews>
  <sheetFormatPr defaultColWidth="11.453125" defaultRowHeight="15.5" x14ac:dyDescent="0.35"/>
  <cols>
    <col min="1" max="1" width="24.7265625" style="260" customWidth="1"/>
    <col min="2" max="2" width="13.453125" style="260" customWidth="1"/>
    <col min="3" max="7" width="11.453125" style="260"/>
    <col min="8" max="8" width="14.26953125" style="260" customWidth="1"/>
    <col min="9" max="16384" width="11.453125" style="260"/>
  </cols>
  <sheetData>
    <row r="1" spans="1:9" x14ac:dyDescent="0.35">
      <c r="A1" s="265" t="s">
        <v>491</v>
      </c>
      <c r="E1" s="266" t="s">
        <v>504</v>
      </c>
      <c r="F1" s="267" t="s">
        <v>505</v>
      </c>
      <c r="G1" s="267"/>
      <c r="H1" s="268"/>
    </row>
    <row r="2" spans="1:9" x14ac:dyDescent="0.35">
      <c r="E2" s="269">
        <v>0</v>
      </c>
      <c r="F2" s="260">
        <v>-7870</v>
      </c>
      <c r="H2" s="270"/>
    </row>
    <row r="3" spans="1:9" x14ac:dyDescent="0.35">
      <c r="A3" s="271" t="s">
        <v>492</v>
      </c>
      <c r="B3" s="272">
        <v>2935</v>
      </c>
      <c r="E3" s="269">
        <v>1</v>
      </c>
      <c r="F3" s="260">
        <v>1878</v>
      </c>
      <c r="H3" s="270"/>
      <c r="I3" s="263"/>
    </row>
    <row r="4" spans="1:9" x14ac:dyDescent="0.35">
      <c r="A4" s="271" t="s">
        <v>493</v>
      </c>
      <c r="B4" s="273">
        <v>5.6000000000000001E-2</v>
      </c>
      <c r="E4" s="269">
        <v>2</v>
      </c>
      <c r="F4" s="260">
        <v>1569</v>
      </c>
      <c r="H4" s="270"/>
      <c r="I4" s="263"/>
    </row>
    <row r="5" spans="1:9" x14ac:dyDescent="0.35">
      <c r="A5" s="271" t="s">
        <v>494</v>
      </c>
      <c r="B5" s="274">
        <v>15</v>
      </c>
      <c r="E5" s="269">
        <v>3</v>
      </c>
      <c r="F5" s="260">
        <v>1246</v>
      </c>
      <c r="H5" s="275">
        <f>IRR(F2:F9)</f>
        <v>0.11707966863969643</v>
      </c>
      <c r="I5" s="263"/>
    </row>
    <row r="6" spans="1:9" x14ac:dyDescent="0.35">
      <c r="A6" s="271" t="s">
        <v>498</v>
      </c>
      <c r="B6" s="276">
        <f>-PV(B4/12,B5,B3)</f>
        <v>42423.967280746052</v>
      </c>
      <c r="E6" s="269">
        <v>4</v>
      </c>
      <c r="F6" s="260">
        <v>1651</v>
      </c>
      <c r="H6" s="270"/>
    </row>
    <row r="7" spans="1:9" x14ac:dyDescent="0.35">
      <c r="E7" s="269">
        <v>5</v>
      </c>
      <c r="F7" s="260">
        <v>2066</v>
      </c>
      <c r="H7" s="270"/>
    </row>
    <row r="8" spans="1:9" x14ac:dyDescent="0.35">
      <c r="A8" s="271" t="s">
        <v>496</v>
      </c>
      <c r="B8" s="272">
        <v>2935</v>
      </c>
      <c r="E8" s="269">
        <v>6</v>
      </c>
      <c r="F8" s="260">
        <v>2116</v>
      </c>
      <c r="H8" s="270"/>
    </row>
    <row r="9" spans="1:9" x14ac:dyDescent="0.35">
      <c r="A9" s="271" t="s">
        <v>493</v>
      </c>
      <c r="B9" s="273">
        <v>5.6000000000000001E-2</v>
      </c>
      <c r="E9" s="277">
        <v>7</v>
      </c>
      <c r="F9" s="278">
        <v>1521</v>
      </c>
      <c r="G9" s="278"/>
      <c r="H9" s="279"/>
    </row>
    <row r="10" spans="1:9" x14ac:dyDescent="0.35">
      <c r="A10" s="271" t="s">
        <v>494</v>
      </c>
      <c r="B10" s="274">
        <v>15</v>
      </c>
    </row>
    <row r="11" spans="1:9" x14ac:dyDescent="0.35">
      <c r="A11" s="271" t="s">
        <v>498</v>
      </c>
      <c r="B11" s="276">
        <f>-PV(B9,B10,B8)</f>
        <v>29265.494689940413</v>
      </c>
    </row>
    <row r="13" spans="1:9" x14ac:dyDescent="0.35">
      <c r="A13" s="280" t="s">
        <v>497</v>
      </c>
    </row>
    <row r="14" spans="1:9" x14ac:dyDescent="0.35">
      <c r="A14" s="271" t="s">
        <v>498</v>
      </c>
      <c r="B14" s="272">
        <v>6983</v>
      </c>
    </row>
    <row r="15" spans="1:9" x14ac:dyDescent="0.35">
      <c r="A15" s="271" t="s">
        <v>493</v>
      </c>
      <c r="B15" s="273">
        <v>8.5000000000000006E-2</v>
      </c>
      <c r="D15" s="263"/>
    </row>
    <row r="16" spans="1:9" x14ac:dyDescent="0.35">
      <c r="A16" s="271" t="s">
        <v>494</v>
      </c>
      <c r="B16" s="274">
        <v>9</v>
      </c>
    </row>
    <row r="17" spans="1:6" x14ac:dyDescent="0.35">
      <c r="A17" s="271" t="s">
        <v>492</v>
      </c>
      <c r="B17" s="276">
        <f>-PMT(B15/12,B16,B14)</f>
        <v>803.626882236597</v>
      </c>
    </row>
    <row r="19" spans="1:6" x14ac:dyDescent="0.35">
      <c r="A19" s="271" t="s">
        <v>498</v>
      </c>
      <c r="B19" s="272">
        <v>6983</v>
      </c>
    </row>
    <row r="20" spans="1:6" x14ac:dyDescent="0.35">
      <c r="A20" s="271" t="s">
        <v>493</v>
      </c>
      <c r="B20" s="273">
        <v>8.5000000000000006E-2</v>
      </c>
    </row>
    <row r="21" spans="1:6" x14ac:dyDescent="0.35">
      <c r="A21" s="271" t="s">
        <v>494</v>
      </c>
      <c r="B21" s="274">
        <v>9</v>
      </c>
    </row>
    <row r="22" spans="1:6" x14ac:dyDescent="0.35">
      <c r="A22" s="271" t="s">
        <v>496</v>
      </c>
      <c r="B22" s="276">
        <f>-PMT(B20,B21,B19)</f>
        <v>1141.1878594813804</v>
      </c>
    </row>
    <row r="24" spans="1:6" x14ac:dyDescent="0.35">
      <c r="A24" s="280" t="s">
        <v>499</v>
      </c>
    </row>
    <row r="25" spans="1:6" x14ac:dyDescent="0.35">
      <c r="A25" s="260" t="s">
        <v>500</v>
      </c>
      <c r="B25" s="281">
        <f>IRR(B28:B33)</f>
        <v>0.15838972074461255</v>
      </c>
      <c r="E25" s="282"/>
      <c r="F25" s="283"/>
    </row>
    <row r="27" spans="1:6" x14ac:dyDescent="0.35">
      <c r="A27" s="271" t="s">
        <v>506</v>
      </c>
      <c r="B27" s="260" t="s">
        <v>505</v>
      </c>
    </row>
    <row r="28" spans="1:6" x14ac:dyDescent="0.35">
      <c r="A28" s="260">
        <v>0</v>
      </c>
      <c r="B28" s="260">
        <v>-6903</v>
      </c>
    </row>
    <row r="29" spans="1:6" x14ac:dyDescent="0.35">
      <c r="A29" s="260">
        <v>1</v>
      </c>
      <c r="B29" s="260">
        <v>2320</v>
      </c>
    </row>
    <row r="30" spans="1:6" x14ac:dyDescent="0.35">
      <c r="A30" s="260">
        <v>2</v>
      </c>
      <c r="B30" s="260">
        <v>2012</v>
      </c>
    </row>
    <row r="31" spans="1:6" x14ac:dyDescent="0.35">
      <c r="A31" s="260">
        <v>3</v>
      </c>
      <c r="B31" s="260">
        <v>2022</v>
      </c>
    </row>
    <row r="32" spans="1:6" x14ac:dyDescent="0.35">
      <c r="A32" s="260">
        <v>4</v>
      </c>
      <c r="B32" s="260">
        <v>2173</v>
      </c>
    </row>
    <row r="33" spans="1:2" x14ac:dyDescent="0.35">
      <c r="A33" s="260">
        <v>5</v>
      </c>
      <c r="B33" s="260">
        <v>1863</v>
      </c>
    </row>
  </sheetData>
  <pageMargins left="0.75" right="0.75" top="1" bottom="1" header="0.51180555555555562" footer="0.51180555555555562"/>
  <pageSetup firstPageNumber="0" orientation="portrait" horizontalDpi="300" verticalDpi="300"/>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R40"/>
  <sheetViews>
    <sheetView showGridLines="0" zoomScale="85" zoomScaleNormal="85" workbookViewId="0">
      <selection activeCell="J33" sqref="J33"/>
    </sheetView>
  </sheetViews>
  <sheetFormatPr defaultRowHeight="12.5" x14ac:dyDescent="0.25"/>
  <cols>
    <col min="2" max="2" width="9.7265625" customWidth="1"/>
    <col min="3" max="3" width="11.08984375" customWidth="1"/>
    <col min="4" max="4" width="10" customWidth="1"/>
    <col min="5" max="5" width="11" customWidth="1"/>
    <col min="6" max="6" width="10.26953125" customWidth="1"/>
    <col min="7" max="7" width="10.7265625" customWidth="1"/>
    <col min="8" max="8" width="10.26953125" customWidth="1"/>
    <col min="12" max="12" width="10.54296875" customWidth="1"/>
    <col min="13" max="13" width="14.81640625" customWidth="1"/>
  </cols>
  <sheetData>
    <row r="1" spans="1:18" ht="17.649999999999999" customHeight="1" x14ac:dyDescent="0.4">
      <c r="A1" s="156" t="s">
        <v>507</v>
      </c>
      <c r="B1" s="156"/>
      <c r="D1" s="413" t="s">
        <v>508</v>
      </c>
      <c r="E1" s="413"/>
      <c r="F1" s="413"/>
      <c r="G1" s="413"/>
      <c r="H1" s="413"/>
      <c r="L1" s="284" t="s">
        <v>67</v>
      </c>
    </row>
    <row r="2" spans="1:18" x14ac:dyDescent="0.25">
      <c r="A2" s="156" t="s">
        <v>509</v>
      </c>
      <c r="B2" s="156"/>
      <c r="D2" s="413"/>
      <c r="E2" s="413"/>
      <c r="F2" s="413"/>
      <c r="G2" s="413"/>
      <c r="H2" s="413"/>
    </row>
    <row r="3" spans="1:18" x14ac:dyDescent="0.25">
      <c r="A3" s="156" t="s">
        <v>510</v>
      </c>
      <c r="B3" s="156"/>
      <c r="D3" s="413"/>
      <c r="E3" s="413"/>
      <c r="F3" s="413"/>
      <c r="G3" s="413"/>
      <c r="H3" s="413"/>
      <c r="N3" s="16" t="s">
        <v>78</v>
      </c>
      <c r="O3" s="25">
        <v>29.055</v>
      </c>
    </row>
    <row r="4" spans="1:18" x14ac:dyDescent="0.25">
      <c r="A4" s="156" t="s">
        <v>511</v>
      </c>
      <c r="B4" s="156"/>
      <c r="D4" s="413"/>
      <c r="E4" s="413"/>
      <c r="F4" s="413"/>
      <c r="G4" s="413"/>
      <c r="H4" s="413"/>
      <c r="N4" s="16" t="s">
        <v>70</v>
      </c>
      <c r="O4" s="25">
        <v>1.17256</v>
      </c>
    </row>
    <row r="5" spans="1:18" ht="12.75" customHeight="1" x14ac:dyDescent="0.25">
      <c r="A5" s="156" t="s">
        <v>512</v>
      </c>
      <c r="B5" s="156"/>
      <c r="D5" s="389" t="s">
        <v>513</v>
      </c>
      <c r="E5" s="389"/>
      <c r="F5" s="389"/>
      <c r="G5" s="389"/>
      <c r="H5" s="389"/>
      <c r="N5" s="16" t="s">
        <v>514</v>
      </c>
      <c r="O5" s="52">
        <f>1-NORMDIST(27.62,O3,O4,1)</f>
        <v>0.88948954828177706</v>
      </c>
      <c r="P5" s="414" t="s">
        <v>515</v>
      </c>
      <c r="Q5" s="414"/>
      <c r="R5" s="414"/>
    </row>
    <row r="6" spans="1:18" x14ac:dyDescent="0.25">
      <c r="N6" s="16" t="s">
        <v>516</v>
      </c>
      <c r="O6" s="285">
        <f>NORMDIST(27.62,O3,O4,1)</f>
        <v>0.11051045171822291</v>
      </c>
      <c r="P6" s="414"/>
      <c r="Q6" s="414"/>
      <c r="R6" s="414"/>
    </row>
    <row r="7" spans="1:18" ht="18" x14ac:dyDescent="0.4">
      <c r="A7" s="34"/>
      <c r="B7" s="34"/>
      <c r="C7" s="34"/>
      <c r="D7" s="34"/>
      <c r="E7" s="34"/>
      <c r="F7" s="34"/>
      <c r="G7" s="33" t="s">
        <v>67</v>
      </c>
      <c r="H7" s="34"/>
      <c r="I7" s="34"/>
      <c r="N7" s="16" t="s">
        <v>517</v>
      </c>
      <c r="O7" s="285">
        <f>NORMDIST(310,O3,O4,1)-NORMDIST(295,O3,O4,1)</f>
        <v>0</v>
      </c>
      <c r="P7" s="414"/>
      <c r="Q7" s="414"/>
      <c r="R7" s="414"/>
    </row>
    <row r="8" spans="1:18" x14ac:dyDescent="0.25">
      <c r="F8" s="107" t="s">
        <v>68</v>
      </c>
      <c r="G8" s="8">
        <v>29.055</v>
      </c>
      <c r="H8" t="s">
        <v>518</v>
      </c>
      <c r="K8" s="107"/>
    </row>
    <row r="9" spans="1:18" x14ac:dyDescent="0.25">
      <c r="F9" s="16" t="s">
        <v>70</v>
      </c>
      <c r="G9" s="286">
        <v>1.172562484</v>
      </c>
      <c r="H9" t="s">
        <v>518</v>
      </c>
      <c r="K9" s="16"/>
      <c r="L9" s="25"/>
      <c r="P9" s="287"/>
      <c r="Q9" s="287"/>
      <c r="R9" s="287"/>
    </row>
    <row r="10" spans="1:18" x14ac:dyDescent="0.25">
      <c r="F10" s="16" t="s">
        <v>71</v>
      </c>
      <c r="G10" s="8">
        <v>27.62</v>
      </c>
      <c r="K10" s="16"/>
      <c r="L10" s="25"/>
      <c r="P10" s="5"/>
      <c r="Q10" s="5"/>
      <c r="R10" s="5"/>
    </row>
    <row r="11" spans="1:18" ht="13" x14ac:dyDescent="0.3">
      <c r="F11" s="16"/>
      <c r="G11" s="25"/>
      <c r="K11" s="14"/>
      <c r="L11" s="22"/>
    </row>
    <row r="12" spans="1:18" ht="13" x14ac:dyDescent="0.3">
      <c r="F12" s="14" t="s">
        <v>16</v>
      </c>
      <c r="G12" s="288">
        <f>1-NORMDIST(G10,G8,G9,1)</f>
        <v>0.88948905916208498</v>
      </c>
      <c r="H12" s="289">
        <f>G12</f>
        <v>0.88948905916208498</v>
      </c>
      <c r="I12" s="415" t="s">
        <v>519</v>
      </c>
      <c r="J12" s="415"/>
      <c r="K12" s="415"/>
      <c r="L12" s="415"/>
    </row>
    <row r="13" spans="1:18" ht="13" x14ac:dyDescent="0.3">
      <c r="F13" s="14" t="s">
        <v>15</v>
      </c>
      <c r="G13" s="291">
        <f>NORMDIST(G10,G8,G9,1)</f>
        <v>0.11051094083791496</v>
      </c>
      <c r="H13" s="289">
        <f>G13</f>
        <v>0.11051094083791496</v>
      </c>
      <c r="I13" s="415" t="s">
        <v>519</v>
      </c>
      <c r="J13" s="415"/>
      <c r="K13" s="415"/>
      <c r="L13" s="415"/>
    </row>
    <row r="14" spans="1:18" ht="13" x14ac:dyDescent="0.3">
      <c r="F14" s="14" t="s">
        <v>517</v>
      </c>
      <c r="G14" s="292">
        <f>NORMDIST(310,G8,G9,1)-NORMDIST(295,G8,G9,1)</f>
        <v>0</v>
      </c>
      <c r="H14" s="289">
        <f>G14</f>
        <v>0</v>
      </c>
      <c r="I14" s="415" t="s">
        <v>519</v>
      </c>
      <c r="J14" s="415"/>
      <c r="K14" s="415"/>
      <c r="L14" s="415"/>
    </row>
    <row r="15" spans="1:18" ht="12.75" customHeight="1" x14ac:dyDescent="0.3">
      <c r="F15" s="14"/>
      <c r="G15" s="41"/>
      <c r="H15" s="23"/>
      <c r="I15" s="23"/>
      <c r="J15" s="14"/>
      <c r="L15" s="14"/>
    </row>
    <row r="16" spans="1:18" ht="12.9" customHeight="1" x14ac:dyDescent="0.3">
      <c r="A16" s="14"/>
      <c r="B16" s="41"/>
      <c r="C16" s="23"/>
      <c r="D16" s="23"/>
      <c r="E16" s="14"/>
      <c r="J16" s="412" t="s">
        <v>520</v>
      </c>
      <c r="K16" s="412"/>
      <c r="L16" s="412"/>
      <c r="M16" s="412"/>
      <c r="N16" s="412"/>
      <c r="O16" s="412"/>
    </row>
    <row r="17" spans="1:15" ht="33" customHeight="1" x14ac:dyDescent="0.25">
      <c r="A17" s="293" t="s">
        <v>521</v>
      </c>
      <c r="B17" s="293" t="s">
        <v>522</v>
      </c>
      <c r="C17" s="293" t="s">
        <v>523</v>
      </c>
      <c r="D17" s="293" t="s">
        <v>524</v>
      </c>
      <c r="E17" s="293" t="s">
        <v>525</v>
      </c>
      <c r="F17" s="294" t="s">
        <v>526</v>
      </c>
      <c r="G17" s="294" t="s">
        <v>527</v>
      </c>
      <c r="H17" s="294" t="s">
        <v>528</v>
      </c>
      <c r="J17" s="412"/>
      <c r="K17" s="412"/>
      <c r="L17" s="412"/>
      <c r="M17" s="412"/>
      <c r="N17" s="412"/>
      <c r="O17" s="412"/>
    </row>
    <row r="18" spans="1:15" x14ac:dyDescent="0.25">
      <c r="A18" s="69" t="s">
        <v>529</v>
      </c>
      <c r="B18" s="69" t="s">
        <v>530</v>
      </c>
      <c r="C18" s="69">
        <v>13.64</v>
      </c>
      <c r="D18" s="69">
        <v>16.329999999999998</v>
      </c>
      <c r="E18" s="69">
        <v>18.29</v>
      </c>
      <c r="F18" s="110">
        <f t="shared" ref="F18:F23" si="0">(C18+4*D18+E18)/6</f>
        <v>16.208333333333332</v>
      </c>
      <c r="G18" s="110">
        <f t="shared" ref="G18:G23" si="1">ABS((C18-E18)/6)</f>
        <v>0.7749999999999998</v>
      </c>
      <c r="H18" s="110">
        <f t="shared" ref="H18:H23" si="2">G18^2</f>
        <v>0.60062499999999974</v>
      </c>
    </row>
    <row r="19" spans="1:15" x14ac:dyDescent="0.25">
      <c r="A19" s="69" t="s">
        <v>531</v>
      </c>
      <c r="B19" s="69" t="s">
        <v>530</v>
      </c>
      <c r="C19" s="69">
        <v>13.12</v>
      </c>
      <c r="D19" s="69">
        <v>16.04</v>
      </c>
      <c r="E19" s="69">
        <v>19.7</v>
      </c>
      <c r="F19" s="110">
        <f t="shared" si="0"/>
        <v>16.163333333333334</v>
      </c>
      <c r="G19" s="110">
        <f t="shared" si="1"/>
        <v>1.0966666666666667</v>
      </c>
      <c r="H19" s="110">
        <f t="shared" si="2"/>
        <v>1.2026777777777777</v>
      </c>
    </row>
    <row r="20" spans="1:15" x14ac:dyDescent="0.25">
      <c r="A20" s="69" t="s">
        <v>532</v>
      </c>
      <c r="B20" s="69" t="s">
        <v>530</v>
      </c>
      <c r="C20" s="69">
        <v>11.16</v>
      </c>
      <c r="D20" s="69">
        <v>14.15</v>
      </c>
      <c r="E20" s="69">
        <v>17.420000000000002</v>
      </c>
      <c r="F20" s="110">
        <f t="shared" si="0"/>
        <v>14.196666666666667</v>
      </c>
      <c r="G20" s="110">
        <f t="shared" si="1"/>
        <v>1.0433333333333337</v>
      </c>
      <c r="H20" s="110">
        <f t="shared" si="2"/>
        <v>1.0885444444444452</v>
      </c>
      <c r="L20" t="s">
        <v>529</v>
      </c>
      <c r="M20" s="32" t="s">
        <v>533</v>
      </c>
    </row>
    <row r="21" spans="1:15" x14ac:dyDescent="0.25">
      <c r="A21" s="69" t="s">
        <v>533</v>
      </c>
      <c r="B21" s="69" t="s">
        <v>529</v>
      </c>
      <c r="C21" s="69">
        <v>10.01</v>
      </c>
      <c r="D21" s="69">
        <v>12.26</v>
      </c>
      <c r="E21" s="69">
        <v>15.8</v>
      </c>
      <c r="F21" s="110">
        <f t="shared" si="0"/>
        <v>12.475</v>
      </c>
      <c r="G21" s="110">
        <f t="shared" si="1"/>
        <v>0.96500000000000019</v>
      </c>
      <c r="H21" s="110">
        <f t="shared" si="2"/>
        <v>0.93122500000000041</v>
      </c>
    </row>
    <row r="22" spans="1:15" x14ac:dyDescent="0.25">
      <c r="A22" s="69" t="s">
        <v>534</v>
      </c>
      <c r="B22" s="69" t="s">
        <v>531</v>
      </c>
      <c r="C22" s="69">
        <v>11.69</v>
      </c>
      <c r="D22" s="69">
        <v>12.87</v>
      </c>
      <c r="E22" s="69">
        <v>14.18</v>
      </c>
      <c r="F22" s="110">
        <f t="shared" si="0"/>
        <v>12.891666666666666</v>
      </c>
      <c r="G22" s="110">
        <f t="shared" si="1"/>
        <v>0.41500000000000004</v>
      </c>
      <c r="H22" s="110">
        <f t="shared" si="2"/>
        <v>0.17222500000000002</v>
      </c>
    </row>
    <row r="23" spans="1:15" x14ac:dyDescent="0.25">
      <c r="A23" s="69" t="s">
        <v>245</v>
      </c>
      <c r="B23" s="69" t="s">
        <v>532</v>
      </c>
      <c r="C23" s="69">
        <v>12.23</v>
      </c>
      <c r="D23" s="69">
        <v>14.67</v>
      </c>
      <c r="E23" s="69">
        <v>17.7</v>
      </c>
      <c r="F23" s="110">
        <f t="shared" si="0"/>
        <v>14.768333333333333</v>
      </c>
      <c r="G23" s="110">
        <f t="shared" si="1"/>
        <v>0.91166666666666651</v>
      </c>
      <c r="H23" s="110">
        <f t="shared" si="2"/>
        <v>0.83113611111111085</v>
      </c>
      <c r="L23" t="s">
        <v>531</v>
      </c>
      <c r="M23" s="32" t="s">
        <v>534</v>
      </c>
    </row>
    <row r="24" spans="1:15" x14ac:dyDescent="0.25">
      <c r="A24" s="69"/>
      <c r="B24" s="69"/>
      <c r="C24" s="69"/>
      <c r="D24" s="69"/>
      <c r="E24" s="69"/>
      <c r="F24" s="110"/>
      <c r="G24" s="110"/>
      <c r="H24" s="110"/>
    </row>
    <row r="25" spans="1:15" x14ac:dyDescent="0.25">
      <c r="A25" s="69"/>
      <c r="B25" s="69"/>
      <c r="C25" s="69"/>
      <c r="D25" s="69"/>
      <c r="E25" s="69"/>
      <c r="F25" s="110"/>
      <c r="G25" s="110"/>
      <c r="H25" s="110"/>
    </row>
    <row r="26" spans="1:15" x14ac:dyDescent="0.25">
      <c r="A26" s="69"/>
      <c r="B26" s="69"/>
      <c r="C26" s="69"/>
      <c r="D26" s="69"/>
      <c r="E26" s="69"/>
      <c r="F26" s="110"/>
      <c r="G26" s="110"/>
      <c r="H26" s="110"/>
    </row>
    <row r="27" spans="1:15" x14ac:dyDescent="0.25">
      <c r="A27" s="69"/>
      <c r="B27" s="69"/>
      <c r="C27" s="69"/>
      <c r="D27" s="69"/>
      <c r="E27" s="69"/>
      <c r="F27" s="110"/>
      <c r="G27" s="110"/>
      <c r="H27" s="110"/>
      <c r="L27" t="s">
        <v>532</v>
      </c>
      <c r="M27" s="32" t="s">
        <v>245</v>
      </c>
    </row>
    <row r="28" spans="1:15" x14ac:dyDescent="0.25">
      <c r="A28" s="69"/>
      <c r="B28" s="69"/>
      <c r="C28" s="69"/>
      <c r="D28" s="69"/>
      <c r="E28" s="69"/>
      <c r="F28" s="110"/>
      <c r="G28" s="110"/>
      <c r="H28" s="110"/>
    </row>
    <row r="29" spans="1:15" x14ac:dyDescent="0.25">
      <c r="A29" s="69"/>
      <c r="B29" s="69"/>
      <c r="C29" s="69"/>
      <c r="D29" s="69"/>
      <c r="E29" s="69"/>
      <c r="F29" s="110"/>
      <c r="G29" s="110"/>
      <c r="H29" s="110"/>
    </row>
    <row r="30" spans="1:15" x14ac:dyDescent="0.25">
      <c r="A30" s="69"/>
      <c r="B30" s="69"/>
      <c r="C30" s="69"/>
      <c r="D30" s="69"/>
      <c r="E30" s="69"/>
      <c r="F30" s="110"/>
      <c r="G30" s="110"/>
      <c r="H30" s="110"/>
    </row>
    <row r="31" spans="1:15" x14ac:dyDescent="0.25">
      <c r="A31" s="69"/>
      <c r="B31" s="69"/>
      <c r="C31" s="69"/>
      <c r="D31" s="69"/>
      <c r="E31" s="69"/>
      <c r="F31" s="110"/>
      <c r="G31" s="110"/>
      <c r="H31" s="110"/>
      <c r="K31" s="19" t="s">
        <v>535</v>
      </c>
      <c r="L31" s="19"/>
      <c r="M31" s="19"/>
    </row>
    <row r="32" spans="1:15" x14ac:dyDescent="0.25">
      <c r="A32" s="69"/>
      <c r="B32" s="69"/>
      <c r="C32" s="69"/>
      <c r="D32" s="69"/>
      <c r="E32" s="69"/>
      <c r="F32" s="110"/>
      <c r="G32" s="110"/>
      <c r="H32" s="110"/>
      <c r="K32" s="290" t="s">
        <v>536</v>
      </c>
      <c r="L32" s="19">
        <f>SUM(F18+F21)</f>
        <v>28.68333333333333</v>
      </c>
      <c r="M32" s="19">
        <f>+(G18^2+G21^2)^0.5</f>
        <v>1.2376792799429099</v>
      </c>
    </row>
    <row r="33" spans="8:13" x14ac:dyDescent="0.25">
      <c r="K33" s="290" t="s">
        <v>537</v>
      </c>
      <c r="L33" s="19">
        <f>SUM(F19+F22)</f>
        <v>29.055</v>
      </c>
      <c r="M33" s="19">
        <f>+(G19^2+G22^2)^0.5</f>
        <v>1.1725624835281818</v>
      </c>
    </row>
    <row r="34" spans="8:13" x14ac:dyDescent="0.25">
      <c r="K34" s="290" t="s">
        <v>538</v>
      </c>
      <c r="L34" s="19">
        <f>SUM(F20+F23)</f>
        <v>28.965</v>
      </c>
      <c r="M34" s="19">
        <f>+(G20^2+G23^2)^0.5</f>
        <v>1.3855253716751477</v>
      </c>
    </row>
    <row r="35" spans="8:13" ht="12.75" customHeight="1" x14ac:dyDescent="0.25"/>
    <row r="40" spans="8:13" x14ac:dyDescent="0.25">
      <c r="H40" s="295"/>
      <c r="I40" s="295"/>
    </row>
  </sheetData>
  <mergeCells count="7">
    <mergeCell ref="J16:O17"/>
    <mergeCell ref="D1:H4"/>
    <mergeCell ref="D5:H5"/>
    <mergeCell ref="P5:R7"/>
    <mergeCell ref="I12:L12"/>
    <mergeCell ref="I13:L13"/>
    <mergeCell ref="I14:L14"/>
  </mergeCells>
  <pageMargins left="0.75" right="0.75" top="1" bottom="1" header="0.51180555555555562" footer="0.51180555555555562"/>
  <pageSetup firstPageNumber="0" orientation="portrait" horizontalDpi="300" verticalDpi="300"/>
  <headerFooter alignWithMargins="0"/>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K44"/>
  <sheetViews>
    <sheetView showGridLines="0" tabSelected="1" topLeftCell="A16" zoomScale="85" zoomScaleNormal="85" workbookViewId="0">
      <selection activeCell="F42" sqref="F42"/>
    </sheetView>
  </sheetViews>
  <sheetFormatPr defaultRowHeight="12.5" x14ac:dyDescent="0.25"/>
  <cols>
    <col min="2" max="2" width="7" customWidth="1"/>
    <col min="3" max="3" width="11.7265625" customWidth="1"/>
    <col min="4" max="4" width="14.08984375" customWidth="1"/>
    <col min="5" max="5" width="13.54296875" customWidth="1"/>
    <col min="6" max="6" width="15.453125" customWidth="1"/>
    <col min="8" max="8" width="12" customWidth="1"/>
  </cols>
  <sheetData>
    <row r="1" spans="1:11" ht="18" x14ac:dyDescent="0.4">
      <c r="A1" s="187" t="s">
        <v>539</v>
      </c>
      <c r="B1" s="187"/>
      <c r="C1" s="187"/>
      <c r="D1" s="187"/>
      <c r="E1" s="187"/>
      <c r="F1" s="19"/>
    </row>
    <row r="2" spans="1:11" ht="18" x14ac:dyDescent="0.4">
      <c r="A2" s="187"/>
      <c r="B2" s="187"/>
      <c r="C2" s="187"/>
      <c r="D2" s="187"/>
      <c r="E2" s="187"/>
      <c r="F2" s="19"/>
    </row>
    <row r="3" spans="1:11" ht="18" x14ac:dyDescent="0.4">
      <c r="A3" s="187" t="s">
        <v>540</v>
      </c>
      <c r="B3" s="187"/>
      <c r="C3" s="187"/>
      <c r="D3" s="187"/>
      <c r="E3" s="187"/>
      <c r="F3" s="19"/>
    </row>
    <row r="8" spans="1:11" x14ac:dyDescent="0.25">
      <c r="B8" t="s">
        <v>521</v>
      </c>
      <c r="C8" t="s">
        <v>522</v>
      </c>
      <c r="D8" t="s">
        <v>523</v>
      </c>
      <c r="E8" t="s">
        <v>524</v>
      </c>
      <c r="F8" t="s">
        <v>525</v>
      </c>
      <c r="H8" t="s">
        <v>213</v>
      </c>
      <c r="I8" t="s">
        <v>541</v>
      </c>
    </row>
    <row r="9" spans="1:11" x14ac:dyDescent="0.25">
      <c r="B9" t="s">
        <v>529</v>
      </c>
      <c r="C9" t="s">
        <v>530</v>
      </c>
      <c r="D9">
        <v>14.94</v>
      </c>
      <c r="E9">
        <v>16.309999999999999</v>
      </c>
      <c r="F9">
        <v>17.87</v>
      </c>
      <c r="H9">
        <f t="shared" ref="H9:H18" si="0">(D9+4*E9+F9)/6</f>
        <v>16.341666666666665</v>
      </c>
      <c r="I9">
        <f>SUM(F9-D9)/6</f>
        <v>0.48833333333333356</v>
      </c>
      <c r="K9">
        <f>(D9+4*E9+F9)/6</f>
        <v>16.341666666666665</v>
      </c>
    </row>
    <row r="10" spans="1:11" x14ac:dyDescent="0.25">
      <c r="B10" t="s">
        <v>531</v>
      </c>
      <c r="C10" t="s">
        <v>530</v>
      </c>
      <c r="D10">
        <v>12.95</v>
      </c>
      <c r="E10">
        <v>15.18</v>
      </c>
      <c r="F10">
        <v>17.72</v>
      </c>
      <c r="H10">
        <f t="shared" si="0"/>
        <v>15.231666666666667</v>
      </c>
      <c r="I10">
        <f>SUM(F10-D10)/6</f>
        <v>0.79499999999999993</v>
      </c>
    </row>
    <row r="11" spans="1:11" x14ac:dyDescent="0.25">
      <c r="B11" t="s">
        <v>532</v>
      </c>
      <c r="C11" t="s">
        <v>542</v>
      </c>
      <c r="D11">
        <v>14.18</v>
      </c>
      <c r="E11">
        <v>15.18</v>
      </c>
      <c r="F11">
        <v>17.78</v>
      </c>
      <c r="H11">
        <f t="shared" si="0"/>
        <v>15.446666666666667</v>
      </c>
      <c r="I11">
        <f>SUM(F11-D11)/6</f>
        <v>0.6000000000000002</v>
      </c>
    </row>
    <row r="12" spans="1:11" x14ac:dyDescent="0.25">
      <c r="B12" t="s">
        <v>533</v>
      </c>
      <c r="C12" t="s">
        <v>542</v>
      </c>
      <c r="D12">
        <v>12.75</v>
      </c>
      <c r="E12">
        <v>14.96</v>
      </c>
      <c r="F12">
        <v>16.850000000000001</v>
      </c>
      <c r="H12">
        <f t="shared" si="0"/>
        <v>14.906666666666666</v>
      </c>
      <c r="I12">
        <f>SUM(F12-D12)/6</f>
        <v>0.68333333333333357</v>
      </c>
    </row>
    <row r="13" spans="1:11" x14ac:dyDescent="0.25">
      <c r="H13">
        <f t="shared" si="0"/>
        <v>0</v>
      </c>
    </row>
    <row r="14" spans="1:11" x14ac:dyDescent="0.25">
      <c r="H14">
        <f t="shared" si="0"/>
        <v>0</v>
      </c>
    </row>
    <row r="15" spans="1:11" x14ac:dyDescent="0.25">
      <c r="H15">
        <f t="shared" si="0"/>
        <v>0</v>
      </c>
    </row>
    <row r="16" spans="1:11" x14ac:dyDescent="0.25">
      <c r="H16">
        <f t="shared" si="0"/>
        <v>0</v>
      </c>
    </row>
    <row r="17" spans="1:10" x14ac:dyDescent="0.25">
      <c r="H17">
        <f t="shared" si="0"/>
        <v>0</v>
      </c>
    </row>
    <row r="18" spans="1:10" x14ac:dyDescent="0.25">
      <c r="H18">
        <f t="shared" si="0"/>
        <v>0</v>
      </c>
    </row>
    <row r="19" spans="1:10" x14ac:dyDescent="0.25">
      <c r="C19" t="s">
        <v>529</v>
      </c>
      <c r="D19" s="32" t="s">
        <v>532</v>
      </c>
    </row>
    <row r="26" spans="1:10" x14ac:dyDescent="0.25">
      <c r="C26" t="s">
        <v>531</v>
      </c>
      <c r="D26" s="32" t="s">
        <v>533</v>
      </c>
    </row>
    <row r="29" spans="1:10" x14ac:dyDescent="0.25">
      <c r="A29" t="s">
        <v>543</v>
      </c>
    </row>
    <row r="30" spans="1:10" x14ac:dyDescent="0.25">
      <c r="B30" t="s">
        <v>544</v>
      </c>
      <c r="H30">
        <f>SUM(H9+H11)</f>
        <v>31.788333333333334</v>
      </c>
      <c r="I30">
        <f>+(I9^2+I11^2)^0.5</f>
        <v>0.77360806901456558</v>
      </c>
      <c r="J30">
        <f>+(I9^2+I11^2)^0.5</f>
        <v>0.77360806901456558</v>
      </c>
    </row>
    <row r="31" spans="1:10" x14ac:dyDescent="0.25">
      <c r="B31" t="s">
        <v>536</v>
      </c>
      <c r="H31">
        <f>SUM(H9+H12)</f>
        <v>31.248333333333331</v>
      </c>
      <c r="I31">
        <f>+(I9^2+I12^2)^0.5</f>
        <v>0.83988921227081459</v>
      </c>
    </row>
    <row r="32" spans="1:10" x14ac:dyDescent="0.25">
      <c r="B32" t="s">
        <v>545</v>
      </c>
      <c r="H32">
        <f>SUM(H10+H11)</f>
        <v>30.678333333333335</v>
      </c>
      <c r="I32">
        <f>+(I10^2+I11^2)^0.5</f>
        <v>0.99600451806204182</v>
      </c>
    </row>
    <row r="33" spans="2:9" x14ac:dyDescent="0.25">
      <c r="B33" t="s">
        <v>546</v>
      </c>
      <c r="H33">
        <f>SUM(H10+H12)</f>
        <v>30.138333333333335</v>
      </c>
      <c r="I33">
        <f>+(I10^2+I12^2)^0.5</f>
        <v>1.0483174349615887</v>
      </c>
    </row>
    <row r="38" spans="2:9" ht="18" x14ac:dyDescent="0.4">
      <c r="C38" s="284" t="s">
        <v>67</v>
      </c>
    </row>
    <row r="40" spans="2:9" x14ac:dyDescent="0.25">
      <c r="E40" s="16" t="s">
        <v>78</v>
      </c>
      <c r="F40" s="25">
        <v>29.055</v>
      </c>
    </row>
    <row r="41" spans="2:9" x14ac:dyDescent="0.25">
      <c r="E41" s="16" t="s">
        <v>70</v>
      </c>
      <c r="F41" s="25">
        <v>1.17256</v>
      </c>
    </row>
    <row r="42" spans="2:9" x14ac:dyDescent="0.25">
      <c r="E42" s="16" t="s">
        <v>514</v>
      </c>
      <c r="F42" s="52">
        <f>1-NORMDIST(27.62,F40,F41,1)</f>
        <v>0.88948954828177706</v>
      </c>
    </row>
    <row r="43" spans="2:9" x14ac:dyDescent="0.25">
      <c r="E43" s="16" t="s">
        <v>516</v>
      </c>
      <c r="F43" s="296">
        <f>NORMDIST(27.62,F40,F41,1)</f>
        <v>0.11051045171822291</v>
      </c>
    </row>
    <row r="44" spans="2:9" x14ac:dyDescent="0.25">
      <c r="E44" s="16" t="s">
        <v>547</v>
      </c>
      <c r="F44" s="52">
        <f>NORMDIST(310,F40,F41,1)-NORMDIST(295,F40,F41,1)</f>
        <v>0</v>
      </c>
    </row>
  </sheetData>
  <pageMargins left="0.75" right="0.75" top="1" bottom="1" header="0.51180555555555562" footer="0.51180555555555562"/>
  <pageSetup firstPageNumber="0" orientation="portrait" horizontalDpi="300" verticalDpi="300"/>
  <headerFooter alignWithMargins="0"/>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U162"/>
  <sheetViews>
    <sheetView showGridLines="0" topLeftCell="A22" zoomScale="85" zoomScaleNormal="85" workbookViewId="0">
      <selection activeCell="I43" sqref="I43"/>
    </sheetView>
  </sheetViews>
  <sheetFormatPr defaultRowHeight="12.5" x14ac:dyDescent="0.25"/>
  <cols>
    <col min="1" max="8" width="3" customWidth="1"/>
    <col min="9" max="10" width="9.26953125" customWidth="1"/>
    <col min="12" max="12" width="16" customWidth="1"/>
    <col min="19" max="19" width="12.26953125" customWidth="1"/>
  </cols>
  <sheetData>
    <row r="1" spans="1:15" ht="17.5" x14ac:dyDescent="0.35">
      <c r="A1" s="416" t="s">
        <v>548</v>
      </c>
      <c r="B1" s="416"/>
      <c r="C1" s="416"/>
      <c r="D1" s="416"/>
      <c r="E1" s="416"/>
      <c r="F1" s="416"/>
      <c r="G1" s="416"/>
      <c r="H1" s="416"/>
      <c r="I1" s="416"/>
      <c r="J1" s="416"/>
    </row>
    <row r="2" spans="1:15" ht="12.9" customHeight="1" x14ac:dyDescent="0.25">
      <c r="L2" s="387" t="s">
        <v>549</v>
      </c>
      <c r="M2" s="387"/>
      <c r="N2" s="387"/>
      <c r="O2" s="387"/>
    </row>
    <row r="3" spans="1:15" x14ac:dyDescent="0.25">
      <c r="L3" s="387"/>
      <c r="M3" s="387"/>
      <c r="N3" s="387"/>
      <c r="O3" s="387"/>
    </row>
    <row r="4" spans="1:15" x14ac:dyDescent="0.25">
      <c r="A4" s="19" t="s">
        <v>550</v>
      </c>
      <c r="B4" s="19"/>
      <c r="C4" s="19"/>
      <c r="D4" s="19"/>
      <c r="E4" s="19"/>
      <c r="F4" s="19"/>
      <c r="G4" s="19"/>
      <c r="H4" s="19"/>
      <c r="I4" s="19"/>
      <c r="J4" s="19"/>
      <c r="L4" s="387"/>
      <c r="M4" s="387"/>
      <c r="N4" s="387"/>
      <c r="O4" s="387"/>
    </row>
    <row r="5" spans="1:15" ht="13" x14ac:dyDescent="0.3">
      <c r="B5" s="5"/>
      <c r="C5" s="417" t="s">
        <v>551</v>
      </c>
      <c r="D5" s="417"/>
      <c r="E5" s="417"/>
      <c r="F5" s="417"/>
      <c r="G5" s="417"/>
      <c r="H5" s="417"/>
      <c r="I5" s="297"/>
      <c r="L5" s="387"/>
      <c r="M5" s="387"/>
      <c r="N5" s="387"/>
      <c r="O5" s="387"/>
    </row>
    <row r="6" spans="1:15" ht="13" x14ac:dyDescent="0.3">
      <c r="B6" s="298"/>
      <c r="C6" s="299" t="s">
        <v>529</v>
      </c>
      <c r="D6" s="299" t="s">
        <v>531</v>
      </c>
      <c r="E6" s="299" t="s">
        <v>532</v>
      </c>
      <c r="F6" s="299" t="s">
        <v>533</v>
      </c>
      <c r="G6" s="300" t="s">
        <v>534</v>
      </c>
      <c r="H6" s="299" t="s">
        <v>245</v>
      </c>
      <c r="I6" s="23"/>
      <c r="L6" s="387"/>
      <c r="M6" s="387"/>
      <c r="N6" s="387"/>
      <c r="O6" s="387"/>
    </row>
    <row r="7" spans="1:15" ht="13" x14ac:dyDescent="0.3">
      <c r="A7" s="418" t="s">
        <v>552</v>
      </c>
      <c r="B7" s="299">
        <v>1</v>
      </c>
      <c r="C7" s="70">
        <v>0</v>
      </c>
      <c r="D7" s="70">
        <v>0</v>
      </c>
      <c r="E7" s="70">
        <v>0</v>
      </c>
      <c r="F7" s="70">
        <v>50</v>
      </c>
      <c r="G7" s="301">
        <v>50</v>
      </c>
      <c r="H7" s="302">
        <v>50</v>
      </c>
      <c r="L7" s="387"/>
      <c r="M7" s="387"/>
      <c r="N7" s="387"/>
      <c r="O7" s="387"/>
    </row>
    <row r="8" spans="1:15" ht="13" x14ac:dyDescent="0.3">
      <c r="A8" s="418"/>
      <c r="B8" s="299">
        <v>2</v>
      </c>
      <c r="C8" s="70">
        <v>0</v>
      </c>
      <c r="D8" s="70">
        <v>0</v>
      </c>
      <c r="E8" s="70">
        <v>50</v>
      </c>
      <c r="F8" s="70">
        <v>50</v>
      </c>
      <c r="G8" s="301">
        <v>0</v>
      </c>
      <c r="H8" s="302">
        <v>0</v>
      </c>
      <c r="L8" s="387"/>
      <c r="M8" s="387"/>
      <c r="N8" s="387"/>
      <c r="O8" s="387"/>
    </row>
    <row r="9" spans="1:15" ht="13" x14ac:dyDescent="0.3">
      <c r="A9" s="418"/>
      <c r="B9" s="299">
        <v>3</v>
      </c>
      <c r="C9" s="70">
        <v>0</v>
      </c>
      <c r="D9" s="70">
        <v>50</v>
      </c>
      <c r="E9" s="70">
        <v>0</v>
      </c>
      <c r="F9" s="70">
        <v>0</v>
      </c>
      <c r="G9" s="301">
        <v>50</v>
      </c>
      <c r="H9" s="302">
        <v>0</v>
      </c>
      <c r="L9" s="387"/>
      <c r="M9" s="387"/>
      <c r="N9" s="387"/>
      <c r="O9" s="387"/>
    </row>
    <row r="10" spans="1:15" ht="13" x14ac:dyDescent="0.3">
      <c r="A10" s="418"/>
      <c r="B10" s="299">
        <v>4</v>
      </c>
      <c r="C10" s="70">
        <v>0</v>
      </c>
      <c r="D10" s="70">
        <v>50</v>
      </c>
      <c r="E10" s="70">
        <v>50</v>
      </c>
      <c r="F10" s="70">
        <v>0</v>
      </c>
      <c r="G10" s="301">
        <v>0</v>
      </c>
      <c r="H10" s="302">
        <v>50</v>
      </c>
      <c r="L10" s="387"/>
      <c r="M10" s="387"/>
      <c r="N10" s="387"/>
      <c r="O10" s="387"/>
    </row>
    <row r="11" spans="1:15" ht="13" x14ac:dyDescent="0.3">
      <c r="A11" s="418"/>
      <c r="B11" s="299">
        <v>5</v>
      </c>
      <c r="C11" s="70">
        <v>50</v>
      </c>
      <c r="D11" s="70">
        <v>0</v>
      </c>
      <c r="E11" s="70">
        <v>0</v>
      </c>
      <c r="F11" s="70">
        <v>0</v>
      </c>
      <c r="G11" s="301">
        <v>0</v>
      </c>
      <c r="H11" s="302">
        <v>50</v>
      </c>
      <c r="L11" s="387"/>
      <c r="M11" s="387"/>
      <c r="N11" s="387"/>
      <c r="O11" s="387"/>
    </row>
    <row r="12" spans="1:15" ht="13" x14ac:dyDescent="0.3">
      <c r="A12" s="418"/>
      <c r="B12" s="299">
        <v>6</v>
      </c>
      <c r="C12" s="70">
        <v>50</v>
      </c>
      <c r="D12" s="70">
        <v>0</v>
      </c>
      <c r="E12" s="70">
        <v>50</v>
      </c>
      <c r="F12" s="70">
        <v>0</v>
      </c>
      <c r="G12" s="301">
        <v>50</v>
      </c>
      <c r="H12" s="302">
        <v>0</v>
      </c>
      <c r="L12" s="387"/>
      <c r="M12" s="387"/>
      <c r="N12" s="387"/>
      <c r="O12" s="387"/>
    </row>
    <row r="13" spans="1:15" ht="12.75" customHeight="1" x14ac:dyDescent="0.3">
      <c r="A13" s="418"/>
      <c r="B13" s="299">
        <v>7</v>
      </c>
      <c r="C13" s="70">
        <v>50</v>
      </c>
      <c r="D13" s="70">
        <v>50</v>
      </c>
      <c r="E13" s="70">
        <v>0</v>
      </c>
      <c r="F13" s="70">
        <v>50</v>
      </c>
      <c r="G13" s="301">
        <v>0</v>
      </c>
      <c r="H13" s="302">
        <v>0</v>
      </c>
      <c r="L13" s="387"/>
      <c r="M13" s="387"/>
      <c r="N13" s="387"/>
      <c r="O13" s="387"/>
    </row>
    <row r="14" spans="1:15" ht="13" x14ac:dyDescent="0.3">
      <c r="A14" s="418"/>
      <c r="B14" s="299">
        <v>8</v>
      </c>
      <c r="C14" s="303">
        <v>50</v>
      </c>
      <c r="D14" s="303">
        <v>50</v>
      </c>
      <c r="E14" s="303">
        <v>50</v>
      </c>
      <c r="F14" s="303">
        <v>50</v>
      </c>
      <c r="G14" s="304">
        <v>50</v>
      </c>
      <c r="H14" s="305">
        <v>50</v>
      </c>
      <c r="L14" s="387"/>
      <c r="M14" s="387"/>
      <c r="N14" s="387"/>
      <c r="O14" s="387"/>
    </row>
    <row r="15" spans="1:15" x14ac:dyDescent="0.25">
      <c r="L15" s="419" t="s">
        <v>553</v>
      </c>
      <c r="M15" s="419"/>
      <c r="N15" s="419"/>
      <c r="O15" s="419"/>
    </row>
    <row r="17" spans="1:12" ht="13" x14ac:dyDescent="0.3">
      <c r="A17" s="306" t="s">
        <v>554</v>
      </c>
      <c r="C17" s="5"/>
      <c r="D17" s="5"/>
      <c r="E17" s="5"/>
      <c r="F17" s="5"/>
    </row>
    <row r="18" spans="1:12" x14ac:dyDescent="0.25">
      <c r="A18" s="5" t="s">
        <v>555</v>
      </c>
      <c r="C18" s="5"/>
      <c r="D18" s="5"/>
      <c r="E18" s="5"/>
      <c r="F18" s="5"/>
    </row>
    <row r="19" spans="1:12" ht="13" x14ac:dyDescent="0.3">
      <c r="A19" s="5" t="s">
        <v>556</v>
      </c>
      <c r="C19" s="5"/>
      <c r="D19" s="5"/>
      <c r="E19" s="5"/>
      <c r="F19" s="5"/>
      <c r="L19" s="307" t="s">
        <v>257</v>
      </c>
    </row>
    <row r="20" spans="1:12" x14ac:dyDescent="0.25">
      <c r="A20" s="5" t="s">
        <v>557</v>
      </c>
      <c r="C20" s="5"/>
      <c r="D20" s="5"/>
      <c r="E20" s="5"/>
      <c r="F20" s="5"/>
      <c r="L20" s="308" t="s">
        <v>0</v>
      </c>
    </row>
    <row r="21" spans="1:12" x14ac:dyDescent="0.25">
      <c r="A21" s="5" t="s">
        <v>558</v>
      </c>
      <c r="C21" s="5"/>
      <c r="D21" s="5"/>
      <c r="E21" s="5"/>
      <c r="F21" s="5"/>
      <c r="L21" s="309" t="s">
        <v>131</v>
      </c>
    </row>
    <row r="22" spans="1:12" x14ac:dyDescent="0.25">
      <c r="A22" s="5" t="s">
        <v>559</v>
      </c>
      <c r="C22" s="5"/>
      <c r="D22" s="5"/>
      <c r="E22" s="5"/>
      <c r="F22" s="5"/>
      <c r="L22" s="310" t="s">
        <v>122</v>
      </c>
    </row>
    <row r="23" spans="1:12" ht="13" x14ac:dyDescent="0.3">
      <c r="A23" s="5" t="s">
        <v>560</v>
      </c>
      <c r="C23" s="5"/>
      <c r="D23" s="5"/>
      <c r="E23" s="5"/>
      <c r="F23" s="5"/>
      <c r="L23" s="311" t="s">
        <v>138</v>
      </c>
    </row>
    <row r="24" spans="1:12" x14ac:dyDescent="0.25">
      <c r="A24" s="5" t="s">
        <v>561</v>
      </c>
      <c r="C24" s="5"/>
      <c r="D24" s="5"/>
      <c r="E24" s="5"/>
      <c r="F24" s="5"/>
    </row>
    <row r="27" spans="1:12" x14ac:dyDescent="0.25">
      <c r="C27" s="19" t="s">
        <v>562</v>
      </c>
      <c r="D27" s="19"/>
      <c r="E27" s="19"/>
      <c r="F27" s="19"/>
      <c r="G27" s="19"/>
      <c r="H27" s="19"/>
    </row>
    <row r="28" spans="1:12" ht="13" x14ac:dyDescent="0.3">
      <c r="C28" s="393" t="s">
        <v>551</v>
      </c>
      <c r="D28" s="393"/>
      <c r="E28" s="393"/>
      <c r="F28" s="393"/>
      <c r="G28" s="393"/>
      <c r="H28" s="393"/>
      <c r="I28" s="31"/>
    </row>
    <row r="29" spans="1:12" ht="13" x14ac:dyDescent="0.3">
      <c r="C29" s="188" t="s">
        <v>529</v>
      </c>
      <c r="D29" s="188" t="s">
        <v>531</v>
      </c>
      <c r="E29" s="188" t="s">
        <v>532</v>
      </c>
      <c r="F29" s="188" t="s">
        <v>533</v>
      </c>
      <c r="G29" s="188" t="s">
        <v>534</v>
      </c>
      <c r="H29" s="188" t="s">
        <v>245</v>
      </c>
      <c r="I29" s="312" t="s">
        <v>326</v>
      </c>
    </row>
    <row r="30" spans="1:12" ht="13" x14ac:dyDescent="0.3">
      <c r="A30" s="418" t="s">
        <v>552</v>
      </c>
      <c r="B30" s="313">
        <v>1</v>
      </c>
      <c r="C30">
        <v>0</v>
      </c>
      <c r="D30">
        <v>0</v>
      </c>
      <c r="E30">
        <v>0</v>
      </c>
      <c r="F30">
        <v>50</v>
      </c>
      <c r="G30">
        <v>50</v>
      </c>
      <c r="H30">
        <v>50</v>
      </c>
      <c r="I30">
        <v>0</v>
      </c>
    </row>
    <row r="31" spans="1:12" ht="13" x14ac:dyDescent="0.3">
      <c r="A31" s="418"/>
      <c r="B31" s="313">
        <v>2</v>
      </c>
      <c r="C31">
        <v>0</v>
      </c>
      <c r="D31">
        <v>0</v>
      </c>
      <c r="E31">
        <v>50</v>
      </c>
      <c r="F31">
        <v>50</v>
      </c>
      <c r="G31">
        <v>0</v>
      </c>
      <c r="H31">
        <v>0</v>
      </c>
      <c r="I31">
        <v>0</v>
      </c>
    </row>
    <row r="32" spans="1:12" ht="13" x14ac:dyDescent="0.3">
      <c r="A32" s="418"/>
      <c r="B32" s="313">
        <v>3</v>
      </c>
      <c r="C32">
        <v>0</v>
      </c>
      <c r="D32">
        <v>50</v>
      </c>
      <c r="E32">
        <v>0</v>
      </c>
      <c r="F32">
        <v>0</v>
      </c>
      <c r="G32">
        <v>50</v>
      </c>
      <c r="H32">
        <v>0</v>
      </c>
      <c r="I32">
        <v>0</v>
      </c>
    </row>
    <row r="33" spans="1:10" ht="13" x14ac:dyDescent="0.3">
      <c r="A33" s="418"/>
      <c r="B33" s="313">
        <v>4</v>
      </c>
      <c r="C33">
        <v>0</v>
      </c>
      <c r="D33">
        <v>50</v>
      </c>
      <c r="E33">
        <v>50</v>
      </c>
      <c r="F33">
        <v>0</v>
      </c>
      <c r="G33">
        <v>0</v>
      </c>
      <c r="H33">
        <v>50</v>
      </c>
      <c r="I33">
        <v>0</v>
      </c>
    </row>
    <row r="34" spans="1:10" ht="13" x14ac:dyDescent="0.3">
      <c r="A34" s="418"/>
      <c r="B34" s="313">
        <v>5</v>
      </c>
      <c r="C34">
        <v>50</v>
      </c>
      <c r="D34">
        <v>0</v>
      </c>
      <c r="E34">
        <v>0</v>
      </c>
      <c r="F34">
        <v>0</v>
      </c>
      <c r="G34">
        <v>0</v>
      </c>
      <c r="H34">
        <v>50</v>
      </c>
      <c r="I34">
        <v>0</v>
      </c>
    </row>
    <row r="35" spans="1:10" ht="13" x14ac:dyDescent="0.3">
      <c r="A35" s="418"/>
      <c r="B35" s="313">
        <v>6</v>
      </c>
      <c r="C35">
        <v>50</v>
      </c>
      <c r="D35">
        <v>0</v>
      </c>
      <c r="E35">
        <v>50</v>
      </c>
      <c r="F35">
        <v>0</v>
      </c>
      <c r="G35">
        <v>50</v>
      </c>
      <c r="H35">
        <v>0</v>
      </c>
      <c r="I35">
        <v>0</v>
      </c>
    </row>
    <row r="36" spans="1:10" ht="13" x14ac:dyDescent="0.3">
      <c r="A36" s="418"/>
      <c r="B36" s="313">
        <v>7</v>
      </c>
      <c r="C36">
        <v>50</v>
      </c>
      <c r="D36">
        <v>50</v>
      </c>
      <c r="E36">
        <v>0</v>
      </c>
      <c r="F36">
        <v>50</v>
      </c>
      <c r="G36">
        <v>0</v>
      </c>
      <c r="H36">
        <v>0</v>
      </c>
      <c r="I36">
        <v>12133.09</v>
      </c>
    </row>
    <row r="37" spans="1:10" ht="13" x14ac:dyDescent="0.3">
      <c r="A37" s="418"/>
      <c r="B37" s="313">
        <v>8</v>
      </c>
      <c r="C37">
        <v>50</v>
      </c>
      <c r="D37">
        <v>50</v>
      </c>
      <c r="E37">
        <v>50</v>
      </c>
      <c r="F37">
        <v>50</v>
      </c>
      <c r="G37">
        <v>50</v>
      </c>
      <c r="H37">
        <v>50</v>
      </c>
      <c r="I37">
        <v>12133.09</v>
      </c>
    </row>
    <row r="38" spans="1:10" x14ac:dyDescent="0.25">
      <c r="B38" s="32"/>
    </row>
    <row r="39" spans="1:10" x14ac:dyDescent="0.25">
      <c r="B39" s="32"/>
    </row>
    <row r="40" spans="1:10" x14ac:dyDescent="0.25">
      <c r="B40" s="32"/>
      <c r="C40" s="19" t="s">
        <v>562</v>
      </c>
      <c r="D40" s="19"/>
      <c r="E40" s="19"/>
      <c r="F40" s="19"/>
      <c r="G40" s="19"/>
      <c r="H40" s="19"/>
    </row>
    <row r="41" spans="1:10" ht="13" x14ac:dyDescent="0.3">
      <c r="B41" s="32"/>
      <c r="C41" s="393" t="s">
        <v>551</v>
      </c>
      <c r="D41" s="393"/>
      <c r="E41" s="393"/>
      <c r="F41" s="393"/>
      <c r="G41" s="393"/>
      <c r="H41" s="393"/>
      <c r="J41" s="31"/>
    </row>
    <row r="42" spans="1:10" ht="13" x14ac:dyDescent="0.3">
      <c r="B42" s="32"/>
      <c r="C42" s="2" t="s">
        <v>529</v>
      </c>
      <c r="D42" s="2" t="s">
        <v>531</v>
      </c>
      <c r="E42" s="188" t="s">
        <v>532</v>
      </c>
      <c r="F42" s="2" t="s">
        <v>533</v>
      </c>
      <c r="G42" s="188" t="s">
        <v>534</v>
      </c>
      <c r="H42" s="188" t="s">
        <v>245</v>
      </c>
      <c r="I42" s="314" t="s">
        <v>563</v>
      </c>
      <c r="J42" s="312" t="s">
        <v>326</v>
      </c>
    </row>
    <row r="43" spans="1:10" ht="13" x14ac:dyDescent="0.3">
      <c r="A43" s="418" t="s">
        <v>552</v>
      </c>
      <c r="B43" s="313">
        <v>1</v>
      </c>
      <c r="C43" s="115">
        <v>-1</v>
      </c>
      <c r="D43" s="115">
        <v>-1</v>
      </c>
      <c r="E43">
        <v>-1</v>
      </c>
      <c r="F43" s="115">
        <v>1</v>
      </c>
      <c r="G43">
        <v>1</v>
      </c>
      <c r="H43">
        <v>1</v>
      </c>
      <c r="I43" s="315">
        <v>-1</v>
      </c>
      <c r="J43">
        <v>0</v>
      </c>
    </row>
    <row r="44" spans="1:10" ht="13" x14ac:dyDescent="0.3">
      <c r="A44" s="418"/>
      <c r="B44" s="313">
        <v>2</v>
      </c>
      <c r="C44" s="115">
        <v>-1</v>
      </c>
      <c r="D44" s="115">
        <v>-1</v>
      </c>
      <c r="E44">
        <v>1</v>
      </c>
      <c r="F44" s="115">
        <v>1</v>
      </c>
      <c r="G44">
        <v>-1</v>
      </c>
      <c r="H44">
        <v>-1</v>
      </c>
      <c r="I44" s="8">
        <v>1</v>
      </c>
      <c r="J44">
        <v>0</v>
      </c>
    </row>
    <row r="45" spans="1:10" ht="13" x14ac:dyDescent="0.3">
      <c r="A45" s="418"/>
      <c r="B45" s="313">
        <v>3</v>
      </c>
      <c r="C45" s="115">
        <v>-1</v>
      </c>
      <c r="D45" s="115">
        <v>1</v>
      </c>
      <c r="E45">
        <v>-1</v>
      </c>
      <c r="F45" s="115">
        <v>-1</v>
      </c>
      <c r="G45">
        <v>1</v>
      </c>
      <c r="H45">
        <v>-1</v>
      </c>
      <c r="I45" s="8">
        <v>1</v>
      </c>
      <c r="J45">
        <v>0</v>
      </c>
    </row>
    <row r="46" spans="1:10" ht="13" x14ac:dyDescent="0.3">
      <c r="A46" s="418"/>
      <c r="B46" s="313">
        <v>4</v>
      </c>
      <c r="C46" s="115">
        <v>-1</v>
      </c>
      <c r="D46" s="115">
        <v>1</v>
      </c>
      <c r="E46">
        <v>1</v>
      </c>
      <c r="F46" s="115">
        <v>-1</v>
      </c>
      <c r="G46">
        <v>-1</v>
      </c>
      <c r="H46">
        <v>1</v>
      </c>
      <c r="I46" s="8">
        <v>-1</v>
      </c>
      <c r="J46">
        <v>0</v>
      </c>
    </row>
    <row r="47" spans="1:10" ht="13" x14ac:dyDescent="0.3">
      <c r="A47" s="418"/>
      <c r="B47" s="313">
        <v>5</v>
      </c>
      <c r="C47" s="115">
        <v>1</v>
      </c>
      <c r="D47" s="115">
        <v>-1</v>
      </c>
      <c r="E47">
        <v>-1</v>
      </c>
      <c r="F47" s="115">
        <v>-1</v>
      </c>
      <c r="G47">
        <v>-1</v>
      </c>
      <c r="H47">
        <v>1</v>
      </c>
      <c r="I47" s="8">
        <v>1</v>
      </c>
      <c r="J47">
        <v>0</v>
      </c>
    </row>
    <row r="48" spans="1:10" ht="13" x14ac:dyDescent="0.3">
      <c r="A48" s="418"/>
      <c r="B48" s="313">
        <v>6</v>
      </c>
      <c r="C48" s="115">
        <v>1</v>
      </c>
      <c r="D48" s="115">
        <v>-1</v>
      </c>
      <c r="E48">
        <v>1</v>
      </c>
      <c r="F48" s="115">
        <v>-1</v>
      </c>
      <c r="G48">
        <v>1</v>
      </c>
      <c r="H48">
        <v>-1</v>
      </c>
      <c r="I48" s="8">
        <v>-1</v>
      </c>
      <c r="J48">
        <v>0</v>
      </c>
    </row>
    <row r="49" spans="1:16" ht="13" x14ac:dyDescent="0.3">
      <c r="A49" s="418"/>
      <c r="B49" s="313">
        <v>7</v>
      </c>
      <c r="C49" s="115">
        <v>1</v>
      </c>
      <c r="D49" s="115">
        <v>1</v>
      </c>
      <c r="E49">
        <v>-1</v>
      </c>
      <c r="F49" s="115">
        <v>1</v>
      </c>
      <c r="G49">
        <v>-1</v>
      </c>
      <c r="H49">
        <v>-1</v>
      </c>
      <c r="I49" s="8">
        <v>-1</v>
      </c>
      <c r="J49">
        <v>12133.09</v>
      </c>
    </row>
    <row r="50" spans="1:16" ht="13" x14ac:dyDescent="0.3">
      <c r="A50" s="418"/>
      <c r="B50" s="313">
        <v>8</v>
      </c>
      <c r="C50" s="115">
        <v>1</v>
      </c>
      <c r="D50" s="115">
        <v>1</v>
      </c>
      <c r="E50">
        <v>1</v>
      </c>
      <c r="F50" s="115">
        <v>1</v>
      </c>
      <c r="G50">
        <v>1</v>
      </c>
      <c r="H50">
        <v>1</v>
      </c>
      <c r="I50" s="8">
        <v>1</v>
      </c>
      <c r="J50">
        <v>12133.09</v>
      </c>
    </row>
    <row r="51" spans="1:16" ht="13" x14ac:dyDescent="0.3">
      <c r="A51" s="129" t="s">
        <v>564</v>
      </c>
      <c r="B51" s="316">
        <v>1</v>
      </c>
      <c r="C51" s="129">
        <v>-1</v>
      </c>
      <c r="D51" s="129">
        <v>-1</v>
      </c>
      <c r="E51" s="129">
        <v>-1</v>
      </c>
      <c r="F51" s="129">
        <v>1</v>
      </c>
      <c r="G51" s="129">
        <v>1</v>
      </c>
      <c r="H51" s="129">
        <v>1</v>
      </c>
      <c r="I51" s="317">
        <v>-1</v>
      </c>
      <c r="J51">
        <v>0</v>
      </c>
    </row>
    <row r="52" spans="1:16" ht="13" x14ac:dyDescent="0.3">
      <c r="A52" s="129" t="s">
        <v>564</v>
      </c>
      <c r="B52" s="316">
        <v>8</v>
      </c>
      <c r="C52" s="129">
        <v>1</v>
      </c>
      <c r="D52" s="129">
        <v>1</v>
      </c>
      <c r="E52" s="129">
        <v>1</v>
      </c>
      <c r="F52" s="129">
        <v>1</v>
      </c>
      <c r="G52" s="129">
        <v>1</v>
      </c>
      <c r="H52" s="129">
        <v>1</v>
      </c>
      <c r="I52" s="317">
        <v>1</v>
      </c>
      <c r="J52">
        <v>12133.09</v>
      </c>
    </row>
    <row r="53" spans="1:16" ht="13" x14ac:dyDescent="0.3">
      <c r="B53" s="31"/>
      <c r="I53" s="25"/>
    </row>
    <row r="54" spans="1:16" ht="13" x14ac:dyDescent="0.3">
      <c r="B54" s="31"/>
      <c r="L54" s="415" t="s">
        <v>565</v>
      </c>
      <c r="M54" s="415"/>
      <c r="N54" s="32"/>
      <c r="O54" s="32"/>
      <c r="P54" s="32"/>
    </row>
    <row r="55" spans="1:16" x14ac:dyDescent="0.25">
      <c r="L55" t="s">
        <v>415</v>
      </c>
    </row>
    <row r="57" spans="1:16" ht="13" x14ac:dyDescent="0.3">
      <c r="L57" s="406" t="s">
        <v>417</v>
      </c>
      <c r="M57" s="406"/>
    </row>
    <row r="58" spans="1:16" x14ac:dyDescent="0.25">
      <c r="L58" t="s">
        <v>419</v>
      </c>
      <c r="M58">
        <v>1</v>
      </c>
    </row>
    <row r="59" spans="1:16" x14ac:dyDescent="0.25">
      <c r="L59" t="s">
        <v>421</v>
      </c>
      <c r="M59">
        <v>1</v>
      </c>
    </row>
    <row r="60" spans="1:16" x14ac:dyDescent="0.25">
      <c r="L60" t="s">
        <v>423</v>
      </c>
      <c r="M60">
        <v>1</v>
      </c>
    </row>
    <row r="61" spans="1:16" x14ac:dyDescent="0.25">
      <c r="L61" t="s">
        <v>425</v>
      </c>
      <c r="M61">
        <v>7.1901869436450841E-13</v>
      </c>
    </row>
    <row r="62" spans="1:16" x14ac:dyDescent="0.25">
      <c r="L62" s="119" t="s">
        <v>216</v>
      </c>
      <c r="M62" s="119">
        <v>10</v>
      </c>
    </row>
    <row r="64" spans="1:16" x14ac:dyDescent="0.25">
      <c r="L64" t="s">
        <v>428</v>
      </c>
    </row>
    <row r="65" spans="9:20" ht="13" x14ac:dyDescent="0.3">
      <c r="L65" s="141"/>
      <c r="M65" s="141" t="s">
        <v>219</v>
      </c>
      <c r="N65" s="141" t="s">
        <v>429</v>
      </c>
      <c r="O65" s="141" t="s">
        <v>430</v>
      </c>
      <c r="P65" s="141" t="s">
        <v>245</v>
      </c>
      <c r="Q65" s="141" t="s">
        <v>431</v>
      </c>
    </row>
    <row r="66" spans="9:20" x14ac:dyDescent="0.25">
      <c r="L66" t="s">
        <v>383</v>
      </c>
      <c r="M66">
        <v>7</v>
      </c>
      <c r="N66">
        <v>309144933.19101006</v>
      </c>
      <c r="O66">
        <v>44163561.884430006</v>
      </c>
      <c r="P66">
        <v>8.5424752397177504E+31</v>
      </c>
      <c r="Q66">
        <v>1.1706208937779063E-32</v>
      </c>
    </row>
    <row r="67" spans="9:20" x14ac:dyDescent="0.25">
      <c r="L67" t="s">
        <v>434</v>
      </c>
      <c r="M67">
        <v>2</v>
      </c>
      <c r="N67">
        <v>1.0339757656912846E-24</v>
      </c>
      <c r="O67">
        <v>5.169878828456423E-25</v>
      </c>
    </row>
    <row r="68" spans="9:20" x14ac:dyDescent="0.25">
      <c r="L68" s="119" t="s">
        <v>436</v>
      </c>
      <c r="M68" s="119">
        <v>9</v>
      </c>
      <c r="N68" s="119">
        <v>309144933.19101006</v>
      </c>
      <c r="O68" s="119"/>
      <c r="P68" s="119"/>
      <c r="Q68" s="119"/>
    </row>
    <row r="70" spans="9:20" ht="13.5" customHeight="1" x14ac:dyDescent="0.3">
      <c r="L70" s="141"/>
      <c r="M70" s="141" t="s">
        <v>438</v>
      </c>
      <c r="N70" s="141" t="s">
        <v>425</v>
      </c>
      <c r="O70" s="141" t="s">
        <v>439</v>
      </c>
      <c r="P70" s="141" t="s">
        <v>440</v>
      </c>
      <c r="Q70" s="141" t="s">
        <v>441</v>
      </c>
      <c r="R70" s="141" t="s">
        <v>442</v>
      </c>
      <c r="S70" s="141" t="s">
        <v>566</v>
      </c>
      <c r="T70" s="141" t="s">
        <v>567</v>
      </c>
    </row>
    <row r="71" spans="9:20" x14ac:dyDescent="0.25">
      <c r="L71" t="s">
        <v>445</v>
      </c>
      <c r="M71">
        <v>3033.2725000000005</v>
      </c>
      <c r="N71">
        <v>2.3779308166185597E-13</v>
      </c>
      <c r="O71">
        <v>1.2755932505695616E+16</v>
      </c>
      <c r="P71">
        <v>6.145759691673664E-33</v>
      </c>
      <c r="Q71">
        <v>3033.2724999999996</v>
      </c>
      <c r="R71">
        <v>3033.2725000000014</v>
      </c>
      <c r="S71">
        <v>3033.2724999999996</v>
      </c>
      <c r="T71">
        <v>3033.2725000000014</v>
      </c>
    </row>
    <row r="72" spans="9:20" x14ac:dyDescent="0.25">
      <c r="L72" s="115" t="s">
        <v>529</v>
      </c>
      <c r="M72" s="115">
        <v>3033.2725000000005</v>
      </c>
      <c r="N72" s="115">
        <v>2.3779308166185603E-13</v>
      </c>
      <c r="O72" s="115">
        <v>1.2755932505695612E+16</v>
      </c>
      <c r="P72" s="318">
        <v>6.145759691673664E-33</v>
      </c>
      <c r="Q72">
        <v>3033.2724999999996</v>
      </c>
      <c r="R72">
        <v>3033.2725000000014</v>
      </c>
      <c r="S72">
        <v>3033.2724999999996</v>
      </c>
      <c r="T72">
        <v>3033.2725000000014</v>
      </c>
    </row>
    <row r="73" spans="9:20" x14ac:dyDescent="0.25">
      <c r="L73" s="115" t="s">
        <v>531</v>
      </c>
      <c r="M73" s="115">
        <v>3033.2725000000014</v>
      </c>
      <c r="N73" s="115">
        <v>2.3779308166185592E-13</v>
      </c>
      <c r="O73" s="115">
        <v>1.2755932505695622E+16</v>
      </c>
      <c r="P73" s="318">
        <v>6.145759691673664E-33</v>
      </c>
      <c r="Q73">
        <v>3033.2725000000005</v>
      </c>
      <c r="R73">
        <v>3033.2725000000023</v>
      </c>
      <c r="S73">
        <v>3033.2725000000005</v>
      </c>
      <c r="T73">
        <v>3033.2725000000023</v>
      </c>
    </row>
    <row r="74" spans="9:20" x14ac:dyDescent="0.25">
      <c r="L74" t="s">
        <v>532</v>
      </c>
      <c r="M74">
        <v>0</v>
      </c>
      <c r="N74">
        <v>2.3779308166185597E-13</v>
      </c>
      <c r="O74">
        <v>0</v>
      </c>
      <c r="P74" s="319">
        <v>1</v>
      </c>
      <c r="Q74">
        <v>-1.0231410518791928E-12</v>
      </c>
      <c r="R74">
        <v>1.0231410518791928E-12</v>
      </c>
      <c r="S74">
        <v>-1.0231410518791928E-12</v>
      </c>
      <c r="T74">
        <v>1.0231410518791928E-12</v>
      </c>
    </row>
    <row r="75" spans="9:20" x14ac:dyDescent="0.25">
      <c r="L75" s="115" t="s">
        <v>533</v>
      </c>
      <c r="M75" s="115">
        <v>3033.2725000000005</v>
      </c>
      <c r="N75" s="115">
        <v>2.3779308166185603E-13</v>
      </c>
      <c r="O75" s="115">
        <v>1.2755932505695612E+16</v>
      </c>
      <c r="P75" s="318">
        <v>6.145759691673664E-33</v>
      </c>
      <c r="Q75">
        <v>3033.2724999999996</v>
      </c>
      <c r="R75">
        <v>3033.2725000000014</v>
      </c>
      <c r="S75">
        <v>3033.2724999999996</v>
      </c>
      <c r="T75">
        <v>3033.2725000000014</v>
      </c>
    </row>
    <row r="76" spans="9:20" x14ac:dyDescent="0.25">
      <c r="L76" t="s">
        <v>534</v>
      </c>
      <c r="M76">
        <v>0</v>
      </c>
      <c r="N76">
        <v>2.3779308166185603E-13</v>
      </c>
      <c r="O76">
        <v>0</v>
      </c>
      <c r="P76" s="319">
        <v>1</v>
      </c>
      <c r="Q76">
        <v>-1.023141051879193E-12</v>
      </c>
      <c r="R76">
        <v>1.023141051879193E-12</v>
      </c>
      <c r="S76">
        <v>-1.023141051879193E-12</v>
      </c>
      <c r="T76">
        <v>1.023141051879193E-12</v>
      </c>
    </row>
    <row r="77" spans="9:20" x14ac:dyDescent="0.25">
      <c r="L77" t="s">
        <v>245</v>
      </c>
      <c r="M77">
        <v>0</v>
      </c>
      <c r="N77">
        <v>2.3779308166185603E-13</v>
      </c>
      <c r="O77">
        <v>0</v>
      </c>
      <c r="P77" s="319">
        <v>1</v>
      </c>
      <c r="Q77">
        <v>-1.023141051879193E-12</v>
      </c>
      <c r="R77">
        <v>1.023141051879193E-12</v>
      </c>
      <c r="S77">
        <v>-1.023141051879193E-12</v>
      </c>
      <c r="T77">
        <v>1.023141051879193E-12</v>
      </c>
    </row>
    <row r="78" spans="9:20" x14ac:dyDescent="0.25">
      <c r="L78" s="119" t="s">
        <v>563</v>
      </c>
      <c r="M78" s="119">
        <v>0</v>
      </c>
      <c r="N78" s="119">
        <v>2.3779308166185597E-13</v>
      </c>
      <c r="O78" s="119">
        <v>0</v>
      </c>
      <c r="P78" s="320">
        <v>1</v>
      </c>
      <c r="Q78" s="119">
        <v>-1.0231410518791928E-12</v>
      </c>
      <c r="R78" s="119">
        <v>1.0231410518791928E-12</v>
      </c>
      <c r="S78" s="119">
        <v>-1.0231410518791928E-12</v>
      </c>
      <c r="T78" s="119">
        <v>1.0231410518791928E-12</v>
      </c>
    </row>
    <row r="80" spans="9:20" x14ac:dyDescent="0.25">
      <c r="I80" s="214"/>
      <c r="J80" s="214"/>
      <c r="K80" s="214"/>
      <c r="L80" s="214"/>
    </row>
    <row r="82" spans="1:11" x14ac:dyDescent="0.25">
      <c r="B82" s="32"/>
      <c r="C82" s="19" t="s">
        <v>568</v>
      </c>
      <c r="D82" s="19"/>
      <c r="E82" s="19"/>
      <c r="F82" s="19"/>
      <c r="G82" s="19"/>
      <c r="H82" s="19"/>
    </row>
    <row r="83" spans="1:11" ht="13" x14ac:dyDescent="0.3">
      <c r="B83" s="32"/>
      <c r="C83" s="393" t="s">
        <v>551</v>
      </c>
      <c r="D83" s="393"/>
      <c r="E83" s="393"/>
      <c r="F83" s="393"/>
      <c r="G83" s="393"/>
      <c r="H83" s="393"/>
      <c r="K83" s="321"/>
    </row>
    <row r="84" spans="1:11" ht="13" x14ac:dyDescent="0.3">
      <c r="B84" s="32"/>
      <c r="C84" s="2" t="s">
        <v>529</v>
      </c>
      <c r="D84" s="2" t="s">
        <v>531</v>
      </c>
      <c r="E84" s="2" t="s">
        <v>533</v>
      </c>
      <c r="F84" s="188" t="s">
        <v>569</v>
      </c>
      <c r="G84" s="188" t="s">
        <v>536</v>
      </c>
      <c r="H84" s="188" t="s">
        <v>546</v>
      </c>
      <c r="I84" s="188" t="s">
        <v>570</v>
      </c>
      <c r="J84" s="312" t="s">
        <v>326</v>
      </c>
      <c r="K84" s="322" t="s">
        <v>571</v>
      </c>
    </row>
    <row r="85" spans="1:11" ht="13" x14ac:dyDescent="0.3">
      <c r="A85" s="418" t="s">
        <v>552</v>
      </c>
      <c r="B85" s="313">
        <v>1</v>
      </c>
      <c r="C85" s="115">
        <v>-1</v>
      </c>
      <c r="D85" s="115">
        <v>-1</v>
      </c>
      <c r="E85" s="115">
        <v>-1</v>
      </c>
      <c r="F85">
        <v>1</v>
      </c>
      <c r="G85">
        <v>1</v>
      </c>
      <c r="H85">
        <v>1</v>
      </c>
      <c r="I85" s="323">
        <v>-1</v>
      </c>
      <c r="J85" s="324">
        <v>0</v>
      </c>
      <c r="K85" s="162" t="s">
        <v>572</v>
      </c>
    </row>
    <row r="86" spans="1:11" ht="13" x14ac:dyDescent="0.3">
      <c r="A86" s="418"/>
      <c r="B86" s="313">
        <v>2</v>
      </c>
      <c r="C86" s="115">
        <v>-1</v>
      </c>
      <c r="D86" s="115">
        <v>-1</v>
      </c>
      <c r="E86" s="115">
        <v>1</v>
      </c>
      <c r="F86">
        <v>1</v>
      </c>
      <c r="G86">
        <v>-1</v>
      </c>
      <c r="H86">
        <v>-1</v>
      </c>
      <c r="I86" s="302">
        <v>1</v>
      </c>
      <c r="J86" s="324">
        <v>0</v>
      </c>
      <c r="K86" s="162">
        <v>1</v>
      </c>
    </row>
    <row r="87" spans="1:11" ht="13" x14ac:dyDescent="0.3">
      <c r="A87" s="418"/>
      <c r="B87" s="313">
        <v>3</v>
      </c>
      <c r="C87" s="115">
        <v>-1</v>
      </c>
      <c r="D87" s="115">
        <v>1</v>
      </c>
      <c r="E87" s="115">
        <v>-1</v>
      </c>
      <c r="F87">
        <v>-1</v>
      </c>
      <c r="G87">
        <v>1</v>
      </c>
      <c r="H87">
        <v>-1</v>
      </c>
      <c r="I87" s="302">
        <v>1</v>
      </c>
      <c r="J87" s="324">
        <v>0</v>
      </c>
      <c r="K87" s="162">
        <v>3</v>
      </c>
    </row>
    <row r="88" spans="1:11" ht="13" x14ac:dyDescent="0.3">
      <c r="A88" s="418"/>
      <c r="B88" s="313">
        <v>4</v>
      </c>
      <c r="C88" s="115">
        <v>-1</v>
      </c>
      <c r="D88" s="115">
        <v>1</v>
      </c>
      <c r="E88" s="115">
        <v>1</v>
      </c>
      <c r="F88">
        <v>-1</v>
      </c>
      <c r="G88">
        <v>-1</v>
      </c>
      <c r="H88">
        <v>1</v>
      </c>
      <c r="I88" s="302">
        <v>-1</v>
      </c>
      <c r="J88" s="324">
        <v>0</v>
      </c>
      <c r="K88" s="162" t="s">
        <v>572</v>
      </c>
    </row>
    <row r="89" spans="1:11" ht="13" x14ac:dyDescent="0.3">
      <c r="A89" s="418"/>
      <c r="B89" s="313">
        <v>5</v>
      </c>
      <c r="C89" s="115">
        <v>1</v>
      </c>
      <c r="D89" s="115">
        <v>-1</v>
      </c>
      <c r="E89" s="115">
        <v>-1</v>
      </c>
      <c r="F89">
        <v>-1</v>
      </c>
      <c r="G89">
        <v>-1</v>
      </c>
      <c r="H89">
        <v>1</v>
      </c>
      <c r="I89" s="302">
        <v>1</v>
      </c>
      <c r="J89" s="324">
        <v>0</v>
      </c>
      <c r="K89" s="162">
        <v>5</v>
      </c>
    </row>
    <row r="90" spans="1:11" ht="12.75" customHeight="1" x14ac:dyDescent="0.3">
      <c r="A90" s="418"/>
      <c r="B90" s="313">
        <v>6</v>
      </c>
      <c r="C90" s="115">
        <v>1</v>
      </c>
      <c r="D90" s="115">
        <v>-1</v>
      </c>
      <c r="E90" s="115">
        <v>1</v>
      </c>
      <c r="F90">
        <v>-1</v>
      </c>
      <c r="G90">
        <v>1</v>
      </c>
      <c r="H90">
        <v>-1</v>
      </c>
      <c r="I90" s="302">
        <v>-1</v>
      </c>
      <c r="J90" s="324">
        <v>0</v>
      </c>
      <c r="K90" s="162" t="s">
        <v>572</v>
      </c>
    </row>
    <row r="91" spans="1:11" ht="13" x14ac:dyDescent="0.3">
      <c r="A91" s="418"/>
      <c r="B91" s="313">
        <v>7</v>
      </c>
      <c r="C91" s="115">
        <v>1</v>
      </c>
      <c r="D91" s="115">
        <v>1</v>
      </c>
      <c r="E91" s="115">
        <v>-1</v>
      </c>
      <c r="F91">
        <v>1</v>
      </c>
      <c r="G91">
        <v>-1</v>
      </c>
      <c r="H91">
        <v>-1</v>
      </c>
      <c r="I91" s="302">
        <v>-1</v>
      </c>
      <c r="J91" s="324">
        <v>12133.09</v>
      </c>
      <c r="K91" s="162" t="s">
        <v>572</v>
      </c>
    </row>
    <row r="92" spans="1:11" ht="13" x14ac:dyDescent="0.3">
      <c r="A92" s="418"/>
      <c r="B92" s="313">
        <v>8</v>
      </c>
      <c r="C92" s="115">
        <v>1</v>
      </c>
      <c r="D92" s="115">
        <v>1</v>
      </c>
      <c r="E92" s="115">
        <v>1</v>
      </c>
      <c r="F92">
        <v>1</v>
      </c>
      <c r="G92">
        <v>1</v>
      </c>
      <c r="H92">
        <v>1</v>
      </c>
      <c r="I92" s="305">
        <v>1</v>
      </c>
      <c r="J92" s="324">
        <v>12133.09</v>
      </c>
      <c r="K92" s="162">
        <v>8</v>
      </c>
    </row>
    <row r="93" spans="1:11" ht="13" x14ac:dyDescent="0.3">
      <c r="A93" s="129" t="s">
        <v>564</v>
      </c>
      <c r="B93" s="316">
        <v>1</v>
      </c>
      <c r="C93" s="129">
        <v>-1</v>
      </c>
      <c r="D93" s="129">
        <v>-1</v>
      </c>
      <c r="E93" s="129">
        <v>-1</v>
      </c>
      <c r="F93" s="129">
        <v>1</v>
      </c>
      <c r="G93" s="129">
        <v>1</v>
      </c>
      <c r="H93" s="129">
        <v>1</v>
      </c>
      <c r="I93" s="317">
        <v>-1</v>
      </c>
      <c r="J93" s="324">
        <v>0</v>
      </c>
      <c r="K93" s="32"/>
    </row>
    <row r="94" spans="1:11" ht="13" x14ac:dyDescent="0.3">
      <c r="A94" s="129" t="s">
        <v>564</v>
      </c>
      <c r="B94" s="316">
        <v>8</v>
      </c>
      <c r="C94" s="129">
        <v>1</v>
      </c>
      <c r="D94" s="129">
        <v>1</v>
      </c>
      <c r="E94" s="129">
        <v>1</v>
      </c>
      <c r="F94" s="129">
        <v>1</v>
      </c>
      <c r="G94" s="129">
        <v>1</v>
      </c>
      <c r="H94" s="129">
        <v>1</v>
      </c>
      <c r="I94" s="317">
        <v>1</v>
      </c>
      <c r="J94" s="115">
        <v>12133.09</v>
      </c>
      <c r="K94" s="32"/>
    </row>
    <row r="95" spans="1:11" x14ac:dyDescent="0.25">
      <c r="K95" s="32"/>
    </row>
    <row r="96" spans="1:11" x14ac:dyDescent="0.25">
      <c r="K96" s="32"/>
    </row>
    <row r="97" spans="1:17" ht="12.75" customHeight="1" x14ac:dyDescent="0.25">
      <c r="A97" s="396" t="s">
        <v>573</v>
      </c>
      <c r="B97" s="396"/>
      <c r="C97" s="396"/>
      <c r="D97" s="396"/>
      <c r="E97" s="396"/>
      <c r="F97" s="396"/>
      <c r="G97" s="396"/>
      <c r="H97" s="396"/>
      <c r="I97" s="396"/>
    </row>
    <row r="98" spans="1:17" x14ac:dyDescent="0.25">
      <c r="A98" s="396"/>
      <c r="B98" s="396"/>
      <c r="C98" s="396"/>
      <c r="D98" s="396"/>
      <c r="E98" s="396"/>
      <c r="F98" s="396"/>
      <c r="G98" s="396"/>
      <c r="H98" s="396"/>
      <c r="I98" s="396"/>
    </row>
    <row r="99" spans="1:17" x14ac:dyDescent="0.25">
      <c r="A99" s="396"/>
      <c r="B99" s="396"/>
      <c r="C99" s="396"/>
      <c r="D99" s="396"/>
      <c r="E99" s="396"/>
      <c r="F99" s="396"/>
      <c r="G99" s="396"/>
      <c r="H99" s="396"/>
      <c r="I99" s="396"/>
    </row>
    <row r="100" spans="1:17" x14ac:dyDescent="0.25">
      <c r="A100" s="396"/>
      <c r="B100" s="396"/>
      <c r="C100" s="396"/>
      <c r="D100" s="396"/>
      <c r="E100" s="396"/>
      <c r="F100" s="396"/>
      <c r="G100" s="396"/>
      <c r="H100" s="396"/>
      <c r="I100" s="396"/>
    </row>
    <row r="101" spans="1:17" x14ac:dyDescent="0.25">
      <c r="L101" s="415" t="s">
        <v>574</v>
      </c>
      <c r="M101" s="415"/>
    </row>
    <row r="102" spans="1:17" x14ac:dyDescent="0.25">
      <c r="L102" t="s">
        <v>415</v>
      </c>
    </row>
    <row r="104" spans="1:17" ht="13" x14ac:dyDescent="0.3">
      <c r="L104" s="406" t="s">
        <v>417</v>
      </c>
      <c r="M104" s="406"/>
    </row>
    <row r="105" spans="1:17" x14ac:dyDescent="0.25">
      <c r="L105" t="s">
        <v>419</v>
      </c>
      <c r="M105">
        <v>1</v>
      </c>
    </row>
    <row r="106" spans="1:17" x14ac:dyDescent="0.25">
      <c r="L106" t="s">
        <v>421</v>
      </c>
      <c r="M106">
        <v>1</v>
      </c>
    </row>
    <row r="107" spans="1:17" x14ac:dyDescent="0.25">
      <c r="L107" t="s">
        <v>423</v>
      </c>
      <c r="M107">
        <v>1</v>
      </c>
    </row>
    <row r="108" spans="1:17" x14ac:dyDescent="0.25">
      <c r="L108" t="s">
        <v>425</v>
      </c>
      <c r="M108">
        <v>7.1901869436450841E-13</v>
      </c>
    </row>
    <row r="109" spans="1:17" x14ac:dyDescent="0.25">
      <c r="L109" s="119" t="s">
        <v>216</v>
      </c>
      <c r="M109" s="119">
        <v>10</v>
      </c>
    </row>
    <row r="111" spans="1:17" x14ac:dyDescent="0.25">
      <c r="L111" t="s">
        <v>428</v>
      </c>
    </row>
    <row r="112" spans="1:17" ht="13" x14ac:dyDescent="0.3">
      <c r="L112" s="141"/>
      <c r="M112" s="141" t="s">
        <v>219</v>
      </c>
      <c r="N112" s="141" t="s">
        <v>429</v>
      </c>
      <c r="O112" s="141" t="s">
        <v>430</v>
      </c>
      <c r="P112" s="141" t="s">
        <v>245</v>
      </c>
      <c r="Q112" s="141" t="s">
        <v>431</v>
      </c>
    </row>
    <row r="113" spans="1:21" x14ac:dyDescent="0.25">
      <c r="L113" t="s">
        <v>383</v>
      </c>
      <c r="M113">
        <v>7</v>
      </c>
      <c r="N113">
        <v>309144933.19101006</v>
      </c>
      <c r="O113">
        <v>44163561.884430006</v>
      </c>
      <c r="P113">
        <v>8.5424752397177504E+31</v>
      </c>
      <c r="Q113">
        <v>1.1706208937779063E-32</v>
      </c>
    </row>
    <row r="114" spans="1:21" x14ac:dyDescent="0.25">
      <c r="L114" t="s">
        <v>434</v>
      </c>
      <c r="M114">
        <v>2</v>
      </c>
      <c r="N114">
        <v>1.0339757656912846E-24</v>
      </c>
      <c r="O114">
        <v>5.169878828456423E-25</v>
      </c>
    </row>
    <row r="115" spans="1:21" x14ac:dyDescent="0.25">
      <c r="L115" s="119" t="s">
        <v>436</v>
      </c>
      <c r="M115" s="119">
        <v>9</v>
      </c>
      <c r="N115" s="119">
        <v>309144933.19101006</v>
      </c>
      <c r="O115" s="119"/>
      <c r="P115" s="119"/>
      <c r="Q115" s="119"/>
    </row>
    <row r="117" spans="1:21" ht="13" x14ac:dyDescent="0.3">
      <c r="L117" s="141"/>
      <c r="M117" s="141" t="s">
        <v>438</v>
      </c>
      <c r="N117" s="141" t="s">
        <v>425</v>
      </c>
      <c r="O117" s="141" t="s">
        <v>439</v>
      </c>
      <c r="P117" s="141" t="s">
        <v>440</v>
      </c>
      <c r="Q117" s="141" t="s">
        <v>441</v>
      </c>
      <c r="R117" s="141" t="s">
        <v>442</v>
      </c>
      <c r="S117" s="141" t="s">
        <v>566</v>
      </c>
      <c r="T117" s="141" t="s">
        <v>567</v>
      </c>
    </row>
    <row r="118" spans="1:21" x14ac:dyDescent="0.25">
      <c r="L118" t="s">
        <v>445</v>
      </c>
      <c r="M118">
        <v>3033.2725000000005</v>
      </c>
      <c r="N118">
        <v>2.3779308166185597E-13</v>
      </c>
      <c r="O118">
        <v>1.2755932505695616E+16</v>
      </c>
      <c r="P118">
        <v>6.145759691673664E-33</v>
      </c>
      <c r="Q118">
        <v>3033.2724999999996</v>
      </c>
      <c r="R118">
        <v>3033.2725000000014</v>
      </c>
      <c r="S118">
        <v>3033.2724999999996</v>
      </c>
      <c r="T118">
        <v>3033.2725000000014</v>
      </c>
    </row>
    <row r="119" spans="1:21" x14ac:dyDescent="0.25">
      <c r="L119" s="115" t="s">
        <v>529</v>
      </c>
      <c r="M119" s="115">
        <v>3033.2725000000005</v>
      </c>
      <c r="N119" s="115">
        <v>2.3779308166185603E-13</v>
      </c>
      <c r="O119" s="115">
        <v>1.2755932505695612E+16</v>
      </c>
      <c r="P119" s="318">
        <v>6.145759691673664E-33</v>
      </c>
      <c r="Q119">
        <v>3033.2724999999996</v>
      </c>
      <c r="R119">
        <v>3033.2725000000014</v>
      </c>
      <c r="S119">
        <v>3033.2724999999996</v>
      </c>
      <c r="T119">
        <v>3033.2725000000014</v>
      </c>
    </row>
    <row r="120" spans="1:21" x14ac:dyDescent="0.25">
      <c r="L120" s="115" t="s">
        <v>531</v>
      </c>
      <c r="M120" s="115">
        <v>3033.2725000000014</v>
      </c>
      <c r="N120" s="115">
        <v>2.3779308166185592E-13</v>
      </c>
      <c r="O120" s="115">
        <v>1.2755932505695622E+16</v>
      </c>
      <c r="P120" s="318">
        <v>6.145759691673664E-33</v>
      </c>
      <c r="Q120">
        <v>3033.2725000000005</v>
      </c>
      <c r="R120">
        <v>3033.2725000000023</v>
      </c>
      <c r="S120">
        <v>3033.2725000000005</v>
      </c>
      <c r="T120">
        <v>3033.2725000000023</v>
      </c>
    </row>
    <row r="121" spans="1:21" x14ac:dyDescent="0.25">
      <c r="L121" t="s">
        <v>533</v>
      </c>
      <c r="M121">
        <v>0</v>
      </c>
      <c r="N121">
        <v>2.3779308166185597E-13</v>
      </c>
      <c r="O121">
        <v>0</v>
      </c>
      <c r="P121" s="319">
        <v>1</v>
      </c>
      <c r="Q121">
        <v>-1.0231410518791928E-12</v>
      </c>
      <c r="R121">
        <v>1.0231410518791928E-12</v>
      </c>
      <c r="S121">
        <v>-1.0231410518791928E-12</v>
      </c>
      <c r="T121">
        <v>1.0231410518791928E-12</v>
      </c>
    </row>
    <row r="122" spans="1:21" x14ac:dyDescent="0.25">
      <c r="L122" s="115" t="s">
        <v>569</v>
      </c>
      <c r="M122" s="115">
        <v>3033.2725000000005</v>
      </c>
      <c r="N122" s="115">
        <v>2.3779308166185603E-13</v>
      </c>
      <c r="O122" s="115">
        <v>1.2755932505695612E+16</v>
      </c>
      <c r="P122" s="318">
        <v>6.145759691673664E-33</v>
      </c>
      <c r="Q122">
        <v>3033.2724999999996</v>
      </c>
      <c r="R122">
        <v>3033.2725000000014</v>
      </c>
      <c r="S122">
        <v>3033.2724999999996</v>
      </c>
      <c r="T122">
        <v>3033.2725000000014</v>
      </c>
    </row>
    <row r="123" spans="1:21" x14ac:dyDescent="0.25">
      <c r="L123" t="s">
        <v>536</v>
      </c>
      <c r="M123">
        <v>0</v>
      </c>
      <c r="N123">
        <v>2.3779308166185603E-13</v>
      </c>
      <c r="O123">
        <v>0</v>
      </c>
      <c r="P123" s="319">
        <v>1</v>
      </c>
      <c r="Q123">
        <v>-1.023141051879193E-12</v>
      </c>
      <c r="R123">
        <v>1.023141051879193E-12</v>
      </c>
      <c r="S123">
        <v>-1.023141051879193E-12</v>
      </c>
      <c r="T123">
        <v>1.023141051879193E-12</v>
      </c>
    </row>
    <row r="124" spans="1:21" x14ac:dyDescent="0.25">
      <c r="L124" t="s">
        <v>546</v>
      </c>
      <c r="M124">
        <v>0</v>
      </c>
      <c r="N124">
        <v>2.3779308166185603E-13</v>
      </c>
      <c r="O124">
        <v>0</v>
      </c>
      <c r="P124" s="319">
        <v>1</v>
      </c>
      <c r="Q124">
        <v>-1.023141051879193E-12</v>
      </c>
      <c r="R124">
        <v>1.023141051879193E-12</v>
      </c>
      <c r="S124">
        <v>-1.023141051879193E-12</v>
      </c>
      <c r="T124">
        <v>1.023141051879193E-12</v>
      </c>
    </row>
    <row r="125" spans="1:21" x14ac:dyDescent="0.25">
      <c r="L125" s="119" t="s">
        <v>570</v>
      </c>
      <c r="M125" s="119">
        <v>0</v>
      </c>
      <c r="N125" s="119">
        <v>2.3779308166185597E-13</v>
      </c>
      <c r="O125" s="119">
        <v>0</v>
      </c>
      <c r="P125" s="320">
        <v>1</v>
      </c>
      <c r="Q125" s="119">
        <v>-1.0231410518791928E-12</v>
      </c>
      <c r="R125" s="119">
        <v>1.0231410518791928E-12</v>
      </c>
      <c r="S125" s="119">
        <v>-1.0231410518791928E-12</v>
      </c>
      <c r="T125" s="119">
        <v>1.0231410518791928E-12</v>
      </c>
    </row>
    <row r="128" spans="1:21" ht="17.5" x14ac:dyDescent="0.35">
      <c r="A128" s="420" t="s">
        <v>575</v>
      </c>
      <c r="B128" s="420"/>
      <c r="C128" s="420"/>
      <c r="D128" s="420"/>
      <c r="E128" s="420"/>
      <c r="F128" s="420"/>
      <c r="G128" s="420"/>
      <c r="H128" s="420"/>
      <c r="I128" s="420"/>
      <c r="J128" s="420"/>
      <c r="K128" s="420"/>
      <c r="L128" s="256"/>
      <c r="M128" s="256"/>
      <c r="N128" s="256"/>
      <c r="O128" s="256"/>
      <c r="P128" s="256"/>
      <c r="Q128" s="256"/>
      <c r="R128" s="256"/>
      <c r="S128" s="256"/>
      <c r="T128" s="256"/>
      <c r="U128" s="257"/>
    </row>
    <row r="129" spans="1:21" x14ac:dyDescent="0.25">
      <c r="A129" s="258"/>
      <c r="U129" s="259"/>
    </row>
    <row r="130" spans="1:21" ht="13" x14ac:dyDescent="0.3">
      <c r="A130" s="258"/>
      <c r="C130" s="19"/>
      <c r="D130" s="290"/>
      <c r="E130" s="290"/>
      <c r="F130" s="325" t="s">
        <v>551</v>
      </c>
      <c r="G130" s="290"/>
      <c r="H130" s="290"/>
      <c r="I130" s="290"/>
      <c r="U130" s="259"/>
    </row>
    <row r="131" spans="1:21" x14ac:dyDescent="0.25">
      <c r="A131" s="258"/>
      <c r="C131" t="s">
        <v>576</v>
      </c>
      <c r="D131" t="s">
        <v>577</v>
      </c>
      <c r="E131" t="s">
        <v>578</v>
      </c>
      <c r="F131" t="s">
        <v>579</v>
      </c>
      <c r="G131" t="s">
        <v>580</v>
      </c>
      <c r="H131" t="s">
        <v>581</v>
      </c>
      <c r="I131" t="s">
        <v>582</v>
      </c>
      <c r="J131" t="s">
        <v>326</v>
      </c>
      <c r="L131" t="s">
        <v>415</v>
      </c>
      <c r="U131" s="259"/>
    </row>
    <row r="132" spans="1:21" x14ac:dyDescent="0.25">
      <c r="A132" s="421" t="s">
        <v>583</v>
      </c>
      <c r="B132">
        <v>1</v>
      </c>
      <c r="C132" s="70">
        <v>-1</v>
      </c>
      <c r="D132" s="70">
        <v>-1</v>
      </c>
      <c r="E132" s="70">
        <v>-1</v>
      </c>
      <c r="F132" s="70">
        <v>1</v>
      </c>
      <c r="G132" s="70">
        <v>1</v>
      </c>
      <c r="H132" s="70">
        <v>1</v>
      </c>
      <c r="I132" s="302">
        <v>-1</v>
      </c>
      <c r="J132">
        <v>387.11</v>
      </c>
      <c r="U132" s="259"/>
    </row>
    <row r="133" spans="1:21" ht="13" x14ac:dyDescent="0.3">
      <c r="A133" s="421"/>
      <c r="B133">
        <v>2</v>
      </c>
      <c r="C133" s="70">
        <v>-1</v>
      </c>
      <c r="D133" s="70">
        <v>-1</v>
      </c>
      <c r="E133" s="70">
        <v>1</v>
      </c>
      <c r="F133" s="70">
        <v>1</v>
      </c>
      <c r="G133" s="70">
        <v>-1</v>
      </c>
      <c r="H133" s="70">
        <v>-1</v>
      </c>
      <c r="I133" s="302">
        <v>1</v>
      </c>
      <c r="J133">
        <v>450.21</v>
      </c>
      <c r="L133" s="406" t="s">
        <v>417</v>
      </c>
      <c r="M133" s="406"/>
      <c r="U133" s="259"/>
    </row>
    <row r="134" spans="1:21" x14ac:dyDescent="0.25">
      <c r="A134" s="421"/>
      <c r="B134">
        <v>3</v>
      </c>
      <c r="C134" s="70">
        <v>-1</v>
      </c>
      <c r="D134" s="70">
        <v>1</v>
      </c>
      <c r="E134" s="70">
        <v>-1</v>
      </c>
      <c r="F134" s="70">
        <v>-1</v>
      </c>
      <c r="G134" s="70">
        <v>1</v>
      </c>
      <c r="H134" s="70">
        <v>-1</v>
      </c>
      <c r="I134" s="302">
        <v>1</v>
      </c>
      <c r="J134">
        <v>372.62</v>
      </c>
      <c r="L134" t="s">
        <v>419</v>
      </c>
      <c r="M134">
        <v>0.76747313854929056</v>
      </c>
      <c r="U134" s="259"/>
    </row>
    <row r="135" spans="1:21" x14ac:dyDescent="0.25">
      <c r="A135" s="421"/>
      <c r="B135">
        <v>4</v>
      </c>
      <c r="C135" s="70">
        <v>-1</v>
      </c>
      <c r="D135" s="70">
        <v>1</v>
      </c>
      <c r="E135" s="70">
        <v>1</v>
      </c>
      <c r="F135" s="70">
        <v>-1</v>
      </c>
      <c r="G135" s="70">
        <v>-1</v>
      </c>
      <c r="H135" s="70">
        <v>1</v>
      </c>
      <c r="I135" s="302">
        <v>-1</v>
      </c>
      <c r="J135">
        <v>371.98</v>
      </c>
      <c r="L135" t="s">
        <v>421</v>
      </c>
      <c r="M135">
        <v>0.58901501839469861</v>
      </c>
      <c r="U135" s="259"/>
    </row>
    <row r="136" spans="1:21" x14ac:dyDescent="0.25">
      <c r="A136" s="421"/>
      <c r="B136">
        <v>5</v>
      </c>
      <c r="C136" s="70">
        <v>1</v>
      </c>
      <c r="D136" s="70">
        <v>-1</v>
      </c>
      <c r="E136" s="70">
        <v>-1</v>
      </c>
      <c r="F136" s="70">
        <v>-1</v>
      </c>
      <c r="G136" s="70">
        <v>-1</v>
      </c>
      <c r="H136" s="70">
        <v>1</v>
      </c>
      <c r="I136" s="302">
        <v>1</v>
      </c>
      <c r="J136">
        <v>367.08</v>
      </c>
      <c r="L136" t="s">
        <v>423</v>
      </c>
      <c r="M136">
        <v>-0.8494324172238561</v>
      </c>
      <c r="U136" s="259"/>
    </row>
    <row r="137" spans="1:21" x14ac:dyDescent="0.25">
      <c r="A137" s="421"/>
      <c r="B137">
        <v>6</v>
      </c>
      <c r="C137" s="70">
        <v>1</v>
      </c>
      <c r="D137" s="70">
        <v>-1</v>
      </c>
      <c r="E137" s="70">
        <v>1</v>
      </c>
      <c r="F137" s="70">
        <v>-1</v>
      </c>
      <c r="G137" s="70">
        <v>1</v>
      </c>
      <c r="H137" s="70">
        <v>-1</v>
      </c>
      <c r="I137" s="302">
        <v>-1</v>
      </c>
      <c r="J137">
        <v>415.19</v>
      </c>
      <c r="L137" t="s">
        <v>425</v>
      </c>
      <c r="M137">
        <v>52.560095367112893</v>
      </c>
      <c r="U137" s="259"/>
    </row>
    <row r="138" spans="1:21" x14ac:dyDescent="0.25">
      <c r="A138" s="421"/>
      <c r="B138">
        <v>7</v>
      </c>
      <c r="C138" s="70">
        <v>1</v>
      </c>
      <c r="D138" s="70">
        <v>1</v>
      </c>
      <c r="E138" s="70">
        <v>-1</v>
      </c>
      <c r="F138" s="70">
        <v>1</v>
      </c>
      <c r="G138" s="70">
        <v>-1</v>
      </c>
      <c r="H138" s="70">
        <v>-1</v>
      </c>
      <c r="I138" s="302">
        <v>-1</v>
      </c>
      <c r="J138">
        <v>465.67</v>
      </c>
      <c r="L138" s="119" t="s">
        <v>216</v>
      </c>
      <c r="M138" s="119">
        <v>10</v>
      </c>
      <c r="U138" s="259"/>
    </row>
    <row r="139" spans="1:21" x14ac:dyDescent="0.25">
      <c r="A139" s="421"/>
      <c r="B139">
        <v>8</v>
      </c>
      <c r="C139" s="70">
        <v>1</v>
      </c>
      <c r="D139" s="70">
        <v>1</v>
      </c>
      <c r="E139" s="70">
        <v>1</v>
      </c>
      <c r="F139" s="70">
        <v>1</v>
      </c>
      <c r="G139" s="70">
        <v>1</v>
      </c>
      <c r="H139" s="70">
        <v>1</v>
      </c>
      <c r="I139" s="302">
        <v>1</v>
      </c>
      <c r="J139">
        <v>341.78</v>
      </c>
      <c r="U139" s="259"/>
    </row>
    <row r="140" spans="1:21" x14ac:dyDescent="0.25">
      <c r="A140" s="258"/>
      <c r="B140" t="s">
        <v>564</v>
      </c>
      <c r="C140" s="70">
        <v>1</v>
      </c>
      <c r="D140" s="70">
        <v>1</v>
      </c>
      <c r="E140" s="70">
        <v>-1</v>
      </c>
      <c r="F140" s="70">
        <v>1</v>
      </c>
      <c r="G140" s="70">
        <v>-1</v>
      </c>
      <c r="H140" s="70">
        <v>-1</v>
      </c>
      <c r="I140" s="302">
        <v>-1</v>
      </c>
      <c r="J140">
        <v>386.4</v>
      </c>
      <c r="L140" t="s">
        <v>428</v>
      </c>
      <c r="U140" s="259"/>
    </row>
    <row r="141" spans="1:21" ht="13" x14ac:dyDescent="0.3">
      <c r="A141" s="258"/>
      <c r="B141" t="s">
        <v>564</v>
      </c>
      <c r="C141" s="70">
        <v>1</v>
      </c>
      <c r="D141" s="70">
        <v>1</v>
      </c>
      <c r="E141" s="70">
        <v>1</v>
      </c>
      <c r="F141" s="70">
        <v>1</v>
      </c>
      <c r="G141" s="70">
        <v>1</v>
      </c>
      <c r="H141" s="70">
        <v>1</v>
      </c>
      <c r="I141" s="302">
        <v>1</v>
      </c>
      <c r="J141">
        <v>410.82</v>
      </c>
      <c r="L141" s="141"/>
      <c r="M141" s="141" t="s">
        <v>219</v>
      </c>
      <c r="N141" s="141" t="s">
        <v>429</v>
      </c>
      <c r="O141" s="141" t="s">
        <v>430</v>
      </c>
      <c r="P141" s="141" t="s">
        <v>245</v>
      </c>
      <c r="Q141" s="141" t="s">
        <v>431</v>
      </c>
      <c r="U141" s="259"/>
    </row>
    <row r="142" spans="1:21" x14ac:dyDescent="0.25">
      <c r="A142" s="258"/>
      <c r="L142" t="s">
        <v>383</v>
      </c>
      <c r="M142">
        <v>7</v>
      </c>
      <c r="N142">
        <v>7918.4959900000013</v>
      </c>
      <c r="O142">
        <v>1131.213712857143</v>
      </c>
      <c r="P142">
        <v>0.40947969582316568</v>
      </c>
      <c r="Q142">
        <v>0.84316525244996987</v>
      </c>
      <c r="U142" s="259"/>
    </row>
    <row r="143" spans="1:21" x14ac:dyDescent="0.25">
      <c r="A143" s="258"/>
      <c r="L143" t="s">
        <v>434</v>
      </c>
      <c r="M143">
        <v>2</v>
      </c>
      <c r="N143">
        <v>5525.127250000005</v>
      </c>
      <c r="O143">
        <v>2762.5636250000025</v>
      </c>
      <c r="U143" s="259"/>
    </row>
    <row r="144" spans="1:21" x14ac:dyDescent="0.25">
      <c r="A144" s="258"/>
      <c r="L144" s="119" t="s">
        <v>436</v>
      </c>
      <c r="M144" s="119">
        <v>9</v>
      </c>
      <c r="N144" s="119">
        <v>13443.623240000006</v>
      </c>
      <c r="O144" s="119"/>
      <c r="P144" s="119"/>
      <c r="Q144" s="119"/>
      <c r="U144" s="259"/>
    </row>
    <row r="145" spans="1:21" x14ac:dyDescent="0.25">
      <c r="A145" s="258"/>
      <c r="U145" s="259"/>
    </row>
    <row r="146" spans="1:21" ht="13" x14ac:dyDescent="0.3">
      <c r="A146" s="258"/>
      <c r="C146" s="19" t="s">
        <v>584</v>
      </c>
      <c r="D146" s="19"/>
      <c r="E146" s="19"/>
      <c r="F146" s="19"/>
      <c r="G146" s="19"/>
      <c r="H146" s="19"/>
      <c r="I146" s="19"/>
      <c r="J146" s="19"/>
      <c r="K146" s="19"/>
      <c r="L146" s="141"/>
      <c r="M146" s="141" t="s">
        <v>438</v>
      </c>
      <c r="N146" s="141" t="s">
        <v>425</v>
      </c>
      <c r="O146" s="141" t="s">
        <v>439</v>
      </c>
      <c r="P146" s="141" t="s">
        <v>440</v>
      </c>
      <c r="Q146" s="141" t="s">
        <v>441</v>
      </c>
      <c r="R146" s="141" t="s">
        <v>442</v>
      </c>
      <c r="S146" s="141" t="s">
        <v>566</v>
      </c>
      <c r="T146" s="141" t="s">
        <v>567</v>
      </c>
      <c r="U146" s="259"/>
    </row>
    <row r="147" spans="1:21" x14ac:dyDescent="0.25">
      <c r="A147" s="258"/>
      <c r="C147" s="19" t="s">
        <v>585</v>
      </c>
      <c r="D147" s="19"/>
      <c r="E147" s="19"/>
      <c r="F147" s="19"/>
      <c r="G147" s="19"/>
      <c r="H147" s="19"/>
      <c r="I147" s="19"/>
      <c r="J147" s="19"/>
      <c r="K147" s="19"/>
      <c r="L147" t="s">
        <v>445</v>
      </c>
      <c r="M147">
        <v>395.81562500000013</v>
      </c>
      <c r="N147">
        <v>17.382617653402356</v>
      </c>
      <c r="O147">
        <v>22.77077209499145</v>
      </c>
      <c r="P147">
        <v>1.9230488886376469E-3</v>
      </c>
      <c r="Q147">
        <v>321.02425770695936</v>
      </c>
      <c r="R147">
        <v>470.60699229304089</v>
      </c>
      <c r="S147">
        <v>321.02425770695936</v>
      </c>
      <c r="T147">
        <v>470.60699229304089</v>
      </c>
      <c r="U147" s="259"/>
    </row>
    <row r="148" spans="1:21" x14ac:dyDescent="0.25">
      <c r="A148" s="258"/>
      <c r="C148" s="19" t="s">
        <v>586</v>
      </c>
      <c r="D148" s="19"/>
      <c r="E148" s="19"/>
      <c r="F148" s="19"/>
      <c r="G148" s="19"/>
      <c r="H148" s="19"/>
      <c r="I148" s="19"/>
      <c r="J148" s="19"/>
      <c r="K148" s="19"/>
      <c r="L148" t="s">
        <v>576</v>
      </c>
      <c r="M148" s="326">
        <v>0.33562499999998863</v>
      </c>
      <c r="N148">
        <v>17.382617653402356</v>
      </c>
      <c r="O148">
        <v>1.9308081595771374E-2</v>
      </c>
      <c r="P148" s="319">
        <v>0.98634839685013787</v>
      </c>
      <c r="Q148">
        <v>-74.455742293040799</v>
      </c>
      <c r="R148">
        <v>75.126992293040786</v>
      </c>
      <c r="S148">
        <v>-74.455742293040799</v>
      </c>
      <c r="T148">
        <v>75.126992293040786</v>
      </c>
      <c r="U148" s="259"/>
    </row>
    <row r="149" spans="1:21" x14ac:dyDescent="0.25">
      <c r="A149" s="258"/>
      <c r="C149" s="19" t="s">
        <v>587</v>
      </c>
      <c r="D149" s="19"/>
      <c r="E149" s="19"/>
      <c r="F149" s="19"/>
      <c r="G149" s="19"/>
      <c r="H149" s="19"/>
      <c r="I149" s="19"/>
      <c r="J149" s="19"/>
      <c r="K149" s="19"/>
      <c r="L149" t="s">
        <v>577</v>
      </c>
      <c r="M149" s="326">
        <v>-9.081874999999993</v>
      </c>
      <c r="N149">
        <v>17.38261765340236</v>
      </c>
      <c r="O149">
        <v>-0.52246877778056444</v>
      </c>
      <c r="P149" s="319">
        <v>0.65345220133627091</v>
      </c>
      <c r="Q149">
        <v>-83.873242293040803</v>
      </c>
      <c r="R149">
        <v>65.70949229304081</v>
      </c>
      <c r="S149">
        <v>-83.873242293040803</v>
      </c>
      <c r="T149">
        <v>65.70949229304081</v>
      </c>
      <c r="U149" s="259"/>
    </row>
    <row r="150" spans="1:21" x14ac:dyDescent="0.25">
      <c r="A150" s="258"/>
      <c r="C150" s="19" t="s">
        <v>588</v>
      </c>
      <c r="D150" s="19"/>
      <c r="E150" s="19"/>
      <c r="F150" s="19"/>
      <c r="G150" s="19"/>
      <c r="H150" s="19"/>
      <c r="I150" s="19"/>
      <c r="J150" s="19"/>
      <c r="K150" s="19"/>
      <c r="L150" t="s">
        <v>578</v>
      </c>
      <c r="M150" s="326">
        <v>7.6043750000000001</v>
      </c>
      <c r="N150">
        <v>17.382617653402356</v>
      </c>
      <c r="O150">
        <v>0.43747007220811585</v>
      </c>
      <c r="P150" s="319">
        <v>0.70447821956461532</v>
      </c>
      <c r="Q150">
        <v>-67.186992293040788</v>
      </c>
      <c r="R150">
        <v>82.395742293040797</v>
      </c>
      <c r="S150">
        <v>-67.186992293040788</v>
      </c>
      <c r="T150">
        <v>82.395742293040797</v>
      </c>
      <c r="U150" s="259"/>
    </row>
    <row r="151" spans="1:21" x14ac:dyDescent="0.25">
      <c r="A151" s="258"/>
      <c r="C151" s="19" t="s">
        <v>589</v>
      </c>
      <c r="D151" s="19"/>
      <c r="E151" s="19"/>
      <c r="F151" s="19"/>
      <c r="G151" s="19"/>
      <c r="H151" s="19"/>
      <c r="I151" s="19"/>
      <c r="J151" s="19"/>
      <c r="K151" s="19"/>
      <c r="L151" t="s">
        <v>579</v>
      </c>
      <c r="M151" s="326">
        <v>14.098125</v>
      </c>
      <c r="N151">
        <v>17.382617653402356</v>
      </c>
      <c r="O151">
        <v>0.81104729340005521</v>
      </c>
      <c r="P151" s="319">
        <v>0.5025090123311704</v>
      </c>
      <c r="Q151">
        <v>-60.693242293040797</v>
      </c>
      <c r="R151">
        <v>88.889492293040789</v>
      </c>
      <c r="S151">
        <v>-60.693242293040797</v>
      </c>
      <c r="T151">
        <v>88.889492293040789</v>
      </c>
      <c r="U151" s="259"/>
    </row>
    <row r="152" spans="1:21" x14ac:dyDescent="0.25">
      <c r="A152" s="258"/>
      <c r="C152" s="19" t="s">
        <v>590</v>
      </c>
      <c r="D152" s="19"/>
      <c r="E152" s="19"/>
      <c r="F152" s="19"/>
      <c r="G152" s="19"/>
      <c r="H152" s="19"/>
      <c r="I152" s="19"/>
      <c r="J152" s="19"/>
      <c r="K152" s="19"/>
      <c r="L152" t="s">
        <v>580</v>
      </c>
      <c r="M152" s="326">
        <v>-8.0106249999999992</v>
      </c>
      <c r="N152">
        <v>17.382617653402356</v>
      </c>
      <c r="O152">
        <v>-0.46084112069461819</v>
      </c>
      <c r="P152" s="319">
        <v>0.69017111919763163</v>
      </c>
      <c r="Q152">
        <v>-82.801992293040783</v>
      </c>
      <c r="R152">
        <v>66.780742293040802</v>
      </c>
      <c r="S152">
        <v>-82.801992293040783</v>
      </c>
      <c r="T152">
        <v>66.780742293040802</v>
      </c>
      <c r="U152" s="259"/>
    </row>
    <row r="153" spans="1:21" x14ac:dyDescent="0.25">
      <c r="A153" s="258"/>
      <c r="C153" s="19" t="s">
        <v>591</v>
      </c>
      <c r="D153" s="19"/>
      <c r="E153" s="19"/>
      <c r="F153" s="19"/>
      <c r="G153" s="19"/>
      <c r="H153" s="19"/>
      <c r="I153" s="19"/>
      <c r="J153" s="19"/>
      <c r="K153" s="19"/>
      <c r="L153" t="s">
        <v>581</v>
      </c>
      <c r="M153" s="326">
        <v>-20.198125000000001</v>
      </c>
      <c r="N153">
        <v>17.38261765340236</v>
      </c>
      <c r="O153">
        <v>-1.1619725752896921</v>
      </c>
      <c r="P153" s="319">
        <v>0.3651636442381303</v>
      </c>
      <c r="Q153">
        <v>-94.989492293040811</v>
      </c>
      <c r="R153">
        <v>54.593242293040802</v>
      </c>
      <c r="S153">
        <v>-94.989492293040811</v>
      </c>
      <c r="T153">
        <v>54.593242293040802</v>
      </c>
      <c r="U153" s="259"/>
    </row>
    <row r="154" spans="1:21" x14ac:dyDescent="0.25">
      <c r="A154" s="258"/>
      <c r="L154" s="119" t="s">
        <v>582</v>
      </c>
      <c r="M154" s="327">
        <v>-4.2631250000000067</v>
      </c>
      <c r="N154" s="119">
        <v>17.382617653402352</v>
      </c>
      <c r="O154" s="119">
        <v>-0.24525218727143622</v>
      </c>
      <c r="P154" s="320">
        <v>0.82913086857235663</v>
      </c>
      <c r="Q154" s="119">
        <v>-79.054492293040781</v>
      </c>
      <c r="R154" s="119">
        <v>70.528242293040776</v>
      </c>
      <c r="S154" s="119">
        <v>-79.054492293040781</v>
      </c>
      <c r="T154" s="119">
        <v>70.528242293040776</v>
      </c>
      <c r="U154" s="259"/>
    </row>
    <row r="155" spans="1:21" x14ac:dyDescent="0.25">
      <c r="A155" s="258"/>
      <c r="U155" s="259"/>
    </row>
    <row r="156" spans="1:21" x14ac:dyDescent="0.25">
      <c r="A156" s="258"/>
      <c r="U156" s="259"/>
    </row>
    <row r="157" spans="1:21" x14ac:dyDescent="0.25">
      <c r="A157" s="258"/>
      <c r="C157" s="19" t="s">
        <v>592</v>
      </c>
      <c r="D157" s="19"/>
      <c r="E157" s="19"/>
      <c r="F157" s="19"/>
      <c r="G157" s="19"/>
      <c r="H157" s="19"/>
      <c r="I157" s="19"/>
      <c r="J157" s="19"/>
      <c r="K157" s="19"/>
      <c r="L157" s="19"/>
      <c r="M157" s="19"/>
      <c r="N157" s="19"/>
      <c r="O157" s="19"/>
      <c r="P157" s="19"/>
      <c r="U157" s="259"/>
    </row>
    <row r="158" spans="1:21" x14ac:dyDescent="0.25">
      <c r="A158" s="258"/>
      <c r="C158" s="19" t="s">
        <v>593</v>
      </c>
      <c r="D158" s="19"/>
      <c r="E158" s="19"/>
      <c r="F158" s="19"/>
      <c r="G158" s="19"/>
      <c r="H158" s="19"/>
      <c r="I158" s="19"/>
      <c r="J158" s="19"/>
      <c r="K158" s="19"/>
      <c r="L158" s="19"/>
      <c r="M158" s="19"/>
      <c r="N158" s="19"/>
      <c r="O158" s="19"/>
      <c r="P158" s="19"/>
      <c r="U158" s="259"/>
    </row>
    <row r="159" spans="1:21" x14ac:dyDescent="0.25">
      <c r="A159" s="258"/>
      <c r="C159" s="19" t="s">
        <v>594</v>
      </c>
      <c r="D159" s="19"/>
      <c r="E159" s="19"/>
      <c r="F159" s="19"/>
      <c r="G159" s="19"/>
      <c r="H159" s="19"/>
      <c r="I159" s="19"/>
      <c r="J159" s="19"/>
      <c r="K159" s="19"/>
      <c r="L159" s="19"/>
      <c r="M159" s="19"/>
      <c r="N159" s="19"/>
      <c r="O159" s="19"/>
      <c r="P159" s="19"/>
      <c r="U159" s="259"/>
    </row>
    <row r="160" spans="1:21" x14ac:dyDescent="0.25">
      <c r="A160" s="258"/>
      <c r="C160" s="19" t="s">
        <v>595</v>
      </c>
      <c r="D160" s="19"/>
      <c r="E160" s="19"/>
      <c r="F160" s="19"/>
      <c r="G160" s="19"/>
      <c r="H160" s="19"/>
      <c r="I160" s="19"/>
      <c r="J160" s="19"/>
      <c r="K160" s="19"/>
      <c r="L160" s="19"/>
      <c r="M160" s="19"/>
      <c r="N160" s="19"/>
      <c r="O160" s="19"/>
      <c r="P160" s="19"/>
      <c r="U160" s="259"/>
    </row>
    <row r="161" spans="1:21" x14ac:dyDescent="0.25">
      <c r="A161" s="258"/>
      <c r="U161" s="259"/>
    </row>
    <row r="162" spans="1:21" x14ac:dyDescent="0.25">
      <c r="A162" s="99"/>
      <c r="B162" s="119"/>
      <c r="C162" s="119"/>
      <c r="D162" s="119"/>
      <c r="E162" s="119"/>
      <c r="F162" s="119"/>
      <c r="G162" s="119"/>
      <c r="H162" s="119"/>
      <c r="I162" s="119"/>
      <c r="J162" s="119"/>
      <c r="K162" s="119"/>
      <c r="L162" s="119"/>
      <c r="M162" s="119"/>
      <c r="N162" s="119"/>
      <c r="O162" s="119"/>
      <c r="P162" s="119"/>
      <c r="Q162" s="119"/>
      <c r="R162" s="119"/>
      <c r="S162" s="119"/>
      <c r="T162" s="119"/>
      <c r="U162" s="264"/>
    </row>
  </sheetData>
  <mergeCells count="19">
    <mergeCell ref="L104:M104"/>
    <mergeCell ref="A128:K128"/>
    <mergeCell ref="A132:A139"/>
    <mergeCell ref="L133:M133"/>
    <mergeCell ref="L57:M57"/>
    <mergeCell ref="C83:H83"/>
    <mergeCell ref="A85:A92"/>
    <mergeCell ref="A97:I100"/>
    <mergeCell ref="L101:M101"/>
    <mergeCell ref="C28:H28"/>
    <mergeCell ref="A30:A37"/>
    <mergeCell ref="C41:H41"/>
    <mergeCell ref="A43:A50"/>
    <mergeCell ref="L54:M54"/>
    <mergeCell ref="A1:J1"/>
    <mergeCell ref="L2:O14"/>
    <mergeCell ref="C5:H5"/>
    <mergeCell ref="A7:A14"/>
    <mergeCell ref="L15:O15"/>
  </mergeCells>
  <pageMargins left="0.75" right="0.75" top="1" bottom="1" header="0.51180555555555562" footer="0.51180555555555562"/>
  <pageSetup firstPageNumber="0" orientation="portrait" horizontalDpi="300" verticalDpi="300"/>
  <headerFooter alignWithMargins="0"/>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G427"/>
  <sheetViews>
    <sheetView showGridLines="0" zoomScale="85" zoomScaleNormal="85" workbookViewId="0">
      <pane xSplit="15" topLeftCell="P1" activePane="topRight" state="frozen"/>
      <selection pane="topRight" activeCell="N407" sqref="N407"/>
    </sheetView>
  </sheetViews>
  <sheetFormatPr defaultRowHeight="12.5" x14ac:dyDescent="0.25"/>
  <cols>
    <col min="1" max="1" width="9.7265625" customWidth="1"/>
    <col min="2" max="4" width="4" customWidth="1"/>
    <col min="5" max="5" width="4.453125" customWidth="1"/>
    <col min="6" max="7" width="4" customWidth="1"/>
    <col min="8" max="8" width="9.81640625" customWidth="1"/>
    <col min="9" max="9" width="14.08984375" customWidth="1"/>
    <col min="10" max="15" width="3.54296875" customWidth="1"/>
    <col min="16" max="16" width="18.7265625" customWidth="1"/>
    <col min="17" max="17" width="13.54296875" customWidth="1"/>
    <col min="18" max="18" width="14" customWidth="1"/>
    <col min="19" max="19" width="13.26953125" customWidth="1"/>
    <col min="20" max="20" width="12.7265625" customWidth="1"/>
    <col min="21" max="21" width="13.54296875" customWidth="1"/>
    <col min="22" max="24" width="12.54296875" customWidth="1"/>
  </cols>
  <sheetData>
    <row r="1" spans="1:19" ht="17.5" x14ac:dyDescent="0.35">
      <c r="A1" s="328" t="s">
        <v>596</v>
      </c>
      <c r="B1" s="329"/>
      <c r="C1" s="330"/>
      <c r="D1" s="330"/>
      <c r="E1" s="330"/>
      <c r="F1" s="331"/>
    </row>
    <row r="5" spans="1:19" ht="13" x14ac:dyDescent="0.3">
      <c r="A5" s="312"/>
      <c r="J5" s="19" t="s">
        <v>597</v>
      </c>
      <c r="K5" s="19"/>
      <c r="L5" s="19"/>
      <c r="M5" s="19"/>
      <c r="N5" s="19"/>
      <c r="O5" s="19"/>
      <c r="P5" s="19"/>
      <c r="Q5" s="19"/>
      <c r="R5" s="19"/>
      <c r="S5" s="19"/>
    </row>
    <row r="6" spans="1:19" ht="13" x14ac:dyDescent="0.3">
      <c r="A6" s="312"/>
      <c r="J6" s="19" t="s">
        <v>598</v>
      </c>
      <c r="K6" s="19"/>
      <c r="L6" s="19"/>
      <c r="M6" s="19"/>
      <c r="N6" s="19"/>
      <c r="O6" s="19"/>
      <c r="P6" s="19"/>
      <c r="Q6" s="19"/>
      <c r="R6" s="19"/>
      <c r="S6" s="19"/>
    </row>
    <row r="7" spans="1:19" x14ac:dyDescent="0.25">
      <c r="J7" s="19" t="s">
        <v>599</v>
      </c>
      <c r="K7" s="19"/>
      <c r="L7" s="19"/>
      <c r="M7" s="19"/>
      <c r="N7" s="19"/>
      <c r="O7" s="19"/>
      <c r="P7" s="19"/>
      <c r="Q7" s="19"/>
      <c r="R7" s="19"/>
      <c r="S7" s="19"/>
    </row>
    <row r="8" spans="1:19" ht="13" x14ac:dyDescent="0.3">
      <c r="A8" s="332"/>
      <c r="B8" s="422" t="s">
        <v>551</v>
      </c>
      <c r="C8" s="422"/>
      <c r="D8" s="422"/>
      <c r="E8" s="422"/>
      <c r="F8" s="422"/>
      <c r="G8" s="422"/>
      <c r="H8" s="422"/>
      <c r="J8" s="19" t="s">
        <v>600</v>
      </c>
      <c r="K8" s="19"/>
      <c r="L8" s="19"/>
      <c r="M8" s="19"/>
      <c r="N8" s="19"/>
      <c r="O8" s="19"/>
      <c r="P8" s="19"/>
      <c r="Q8" s="19"/>
      <c r="R8" s="19"/>
      <c r="S8" s="19"/>
    </row>
    <row r="9" spans="1:19" ht="13" x14ac:dyDescent="0.3">
      <c r="A9" s="77" t="s">
        <v>552</v>
      </c>
      <c r="B9" s="67">
        <v>1</v>
      </c>
      <c r="C9" s="67">
        <v>2</v>
      </c>
      <c r="D9" s="67">
        <v>3</v>
      </c>
      <c r="E9" s="67">
        <v>4</v>
      </c>
      <c r="F9" s="67">
        <v>5</v>
      </c>
      <c r="G9" s="67">
        <v>6</v>
      </c>
      <c r="H9" s="188">
        <v>7</v>
      </c>
      <c r="J9" s="19"/>
      <c r="K9" s="19"/>
      <c r="L9" s="19"/>
      <c r="M9" s="19"/>
      <c r="N9" s="19"/>
      <c r="O9" s="19"/>
      <c r="P9" s="19"/>
      <c r="Q9" s="19"/>
      <c r="R9" s="19"/>
      <c r="S9" s="19"/>
    </row>
    <row r="10" spans="1:19" ht="13" x14ac:dyDescent="0.3">
      <c r="A10" s="67">
        <v>1</v>
      </c>
      <c r="B10" s="110">
        <v>-1</v>
      </c>
      <c r="C10" s="110">
        <v>-1</v>
      </c>
      <c r="D10" s="110">
        <v>-1</v>
      </c>
      <c r="E10" s="110">
        <v>1</v>
      </c>
      <c r="F10" s="110">
        <v>1</v>
      </c>
      <c r="G10" s="110">
        <v>1</v>
      </c>
      <c r="H10" s="30">
        <v>-1</v>
      </c>
      <c r="J10" s="19" t="s">
        <v>601</v>
      </c>
      <c r="K10" s="19"/>
      <c r="L10" s="19"/>
      <c r="M10" s="19"/>
      <c r="N10" s="19"/>
      <c r="O10" s="19"/>
      <c r="P10" s="19"/>
      <c r="Q10" s="19"/>
      <c r="R10" s="19"/>
      <c r="S10" s="19"/>
    </row>
    <row r="11" spans="1:19" ht="13" x14ac:dyDescent="0.3">
      <c r="A11" s="67">
        <v>2</v>
      </c>
      <c r="B11" s="110">
        <v>-1</v>
      </c>
      <c r="C11" s="110">
        <v>-1</v>
      </c>
      <c r="D11" s="110">
        <v>1</v>
      </c>
      <c r="E11" s="110">
        <v>1</v>
      </c>
      <c r="F11" s="110">
        <v>-1</v>
      </c>
      <c r="G11" s="110">
        <v>-1</v>
      </c>
      <c r="H11" s="30">
        <v>1</v>
      </c>
      <c r="J11" s="19" t="s">
        <v>602</v>
      </c>
      <c r="K11" s="19"/>
      <c r="L11" s="19"/>
      <c r="M11" s="19"/>
      <c r="N11" s="19"/>
      <c r="O11" s="19"/>
      <c r="P11" s="19"/>
      <c r="Q11" s="19"/>
      <c r="R11" s="19"/>
      <c r="S11" s="19"/>
    </row>
    <row r="12" spans="1:19" ht="13" x14ac:dyDescent="0.3">
      <c r="A12" s="67">
        <v>3</v>
      </c>
      <c r="B12" s="110">
        <v>-1</v>
      </c>
      <c r="C12" s="110">
        <v>1</v>
      </c>
      <c r="D12" s="110">
        <v>-1</v>
      </c>
      <c r="E12" s="110">
        <v>-1</v>
      </c>
      <c r="F12" s="110">
        <v>1</v>
      </c>
      <c r="G12" s="110">
        <v>-1</v>
      </c>
      <c r="H12" s="30">
        <v>1</v>
      </c>
      <c r="J12" s="19" t="s">
        <v>603</v>
      </c>
      <c r="K12" s="19"/>
      <c r="L12" s="19"/>
      <c r="M12" s="19"/>
      <c r="N12" s="19"/>
      <c r="O12" s="19"/>
      <c r="P12" s="19"/>
      <c r="Q12" s="19"/>
      <c r="R12" s="19"/>
      <c r="S12" s="19"/>
    </row>
    <row r="13" spans="1:19" ht="13" x14ac:dyDescent="0.3">
      <c r="A13" s="67">
        <v>4</v>
      </c>
      <c r="B13" s="110">
        <v>-1</v>
      </c>
      <c r="C13" s="110">
        <v>1</v>
      </c>
      <c r="D13" s="110">
        <v>1</v>
      </c>
      <c r="E13" s="110">
        <v>-1</v>
      </c>
      <c r="F13" s="110">
        <v>-1</v>
      </c>
      <c r="G13" s="110">
        <v>1</v>
      </c>
      <c r="H13" s="30">
        <v>-1</v>
      </c>
      <c r="J13" s="19" t="s">
        <v>604</v>
      </c>
      <c r="K13" s="19"/>
      <c r="L13" s="19"/>
      <c r="M13" s="19"/>
      <c r="N13" s="19"/>
      <c r="O13" s="19"/>
      <c r="P13" s="19"/>
      <c r="Q13" s="19"/>
      <c r="R13" s="19"/>
      <c r="S13" s="19"/>
    </row>
    <row r="14" spans="1:19" ht="13" x14ac:dyDescent="0.3">
      <c r="A14" s="67">
        <v>5</v>
      </c>
      <c r="B14" s="110">
        <v>1</v>
      </c>
      <c r="C14" s="110">
        <v>-1</v>
      </c>
      <c r="D14" s="110">
        <v>-1</v>
      </c>
      <c r="E14" s="110">
        <v>-1</v>
      </c>
      <c r="F14" s="110">
        <v>-1</v>
      </c>
      <c r="G14" s="110">
        <v>1</v>
      </c>
      <c r="H14" s="30">
        <v>1</v>
      </c>
      <c r="J14" s="19"/>
      <c r="K14" s="19"/>
      <c r="L14" s="19"/>
      <c r="M14" s="19"/>
      <c r="N14" s="19"/>
      <c r="O14" s="19"/>
      <c r="P14" s="19"/>
      <c r="Q14" s="19"/>
      <c r="R14" s="19"/>
      <c r="S14" s="19"/>
    </row>
    <row r="15" spans="1:19" ht="13" x14ac:dyDescent="0.3">
      <c r="A15" s="67">
        <v>6</v>
      </c>
      <c r="B15" s="110">
        <v>1</v>
      </c>
      <c r="C15" s="110">
        <v>-1</v>
      </c>
      <c r="D15" s="110">
        <v>1</v>
      </c>
      <c r="E15" s="110">
        <v>-1</v>
      </c>
      <c r="F15" s="110">
        <v>1</v>
      </c>
      <c r="G15" s="110">
        <v>-1</v>
      </c>
      <c r="H15" s="30">
        <v>-1</v>
      </c>
      <c r="J15" s="19" t="s">
        <v>605</v>
      </c>
      <c r="K15" s="19"/>
      <c r="L15" s="19"/>
      <c r="M15" s="19"/>
      <c r="N15" s="19"/>
      <c r="O15" s="19"/>
      <c r="P15" s="19"/>
      <c r="Q15" s="19"/>
      <c r="R15" s="19"/>
      <c r="S15" s="19"/>
    </row>
    <row r="16" spans="1:19" ht="13" x14ac:dyDescent="0.3">
      <c r="A16" s="67">
        <v>7</v>
      </c>
      <c r="B16" s="110">
        <v>1</v>
      </c>
      <c r="C16" s="110">
        <v>1</v>
      </c>
      <c r="D16" s="110">
        <v>-1</v>
      </c>
      <c r="E16" s="110">
        <v>1</v>
      </c>
      <c r="F16" s="110">
        <v>-1</v>
      </c>
      <c r="G16" s="110">
        <v>-1</v>
      </c>
      <c r="H16" s="30">
        <v>-1</v>
      </c>
      <c r="J16" s="19" t="s">
        <v>606</v>
      </c>
      <c r="K16" s="19"/>
      <c r="L16" s="19"/>
      <c r="M16" s="19"/>
      <c r="N16" s="19"/>
      <c r="O16" s="19"/>
      <c r="P16" s="19"/>
      <c r="Q16" s="19"/>
      <c r="R16" s="19"/>
      <c r="S16" s="19"/>
    </row>
    <row r="17" spans="1:19" ht="13" x14ac:dyDescent="0.3">
      <c r="A17" s="67">
        <v>8</v>
      </c>
      <c r="B17" s="110">
        <v>1</v>
      </c>
      <c r="C17" s="110">
        <v>1</v>
      </c>
      <c r="D17" s="110">
        <v>1</v>
      </c>
      <c r="E17" s="110">
        <v>1</v>
      </c>
      <c r="F17" s="110">
        <v>1</v>
      </c>
      <c r="G17" s="110">
        <v>1</v>
      </c>
      <c r="H17" s="30">
        <v>1</v>
      </c>
      <c r="J17" s="19"/>
      <c r="K17" s="19"/>
      <c r="L17" s="19"/>
      <c r="M17" s="19"/>
      <c r="N17" s="19"/>
      <c r="O17" s="19"/>
      <c r="P17" s="19"/>
      <c r="Q17" s="19"/>
      <c r="R17" s="19"/>
      <c r="S17" s="19"/>
    </row>
    <row r="18" spans="1:19" x14ac:dyDescent="0.25">
      <c r="B18">
        <f>SUM(B10:B17)</f>
        <v>0</v>
      </c>
      <c r="C18">
        <f t="shared" ref="C18:H18" si="0">SUM(C10:C17)</f>
        <v>0</v>
      </c>
      <c r="D18">
        <f t="shared" si="0"/>
        <v>0</v>
      </c>
      <c r="E18">
        <f t="shared" si="0"/>
        <v>0</v>
      </c>
      <c r="F18">
        <f t="shared" si="0"/>
        <v>0</v>
      </c>
      <c r="G18">
        <f t="shared" si="0"/>
        <v>0</v>
      </c>
      <c r="H18" s="32">
        <f t="shared" si="0"/>
        <v>0</v>
      </c>
      <c r="J18" s="19" t="s">
        <v>607</v>
      </c>
      <c r="K18" s="19"/>
      <c r="L18" s="19"/>
      <c r="M18" s="19"/>
      <c r="N18" s="19"/>
      <c r="O18" s="19"/>
      <c r="P18" s="19"/>
      <c r="Q18" s="19"/>
      <c r="R18" s="19"/>
      <c r="S18" s="19"/>
    </row>
    <row r="19" spans="1:19" x14ac:dyDescent="0.25">
      <c r="J19" s="19" t="s">
        <v>608</v>
      </c>
      <c r="K19" s="19"/>
      <c r="L19" s="19"/>
      <c r="M19" s="19"/>
      <c r="N19" s="19"/>
      <c r="O19" s="19"/>
      <c r="P19" s="19"/>
      <c r="Q19" s="19"/>
      <c r="R19" s="19"/>
      <c r="S19" s="19"/>
    </row>
    <row r="20" spans="1:19" ht="13" x14ac:dyDescent="0.3">
      <c r="A20" s="22" t="s">
        <v>554</v>
      </c>
      <c r="J20" s="19"/>
      <c r="K20" s="19"/>
      <c r="L20" s="19"/>
      <c r="M20" s="19"/>
      <c r="N20" s="19"/>
      <c r="O20" s="19"/>
      <c r="P20" s="19"/>
      <c r="Q20" s="19"/>
      <c r="R20" s="19"/>
      <c r="S20" s="19"/>
    </row>
    <row r="21" spans="1:19" x14ac:dyDescent="0.25">
      <c r="A21" t="s">
        <v>555</v>
      </c>
      <c r="J21" s="19" t="s">
        <v>609</v>
      </c>
      <c r="K21" s="19"/>
      <c r="L21" s="19"/>
      <c r="M21" s="19"/>
      <c r="N21" s="19"/>
      <c r="O21" s="19"/>
      <c r="P21" s="19"/>
      <c r="Q21" s="19"/>
      <c r="R21" s="19"/>
      <c r="S21" s="19"/>
    </row>
    <row r="22" spans="1:19" x14ac:dyDescent="0.25">
      <c r="A22" t="s">
        <v>556</v>
      </c>
    </row>
    <row r="23" spans="1:19" x14ac:dyDescent="0.25">
      <c r="A23" t="s">
        <v>557</v>
      </c>
    </row>
    <row r="24" spans="1:19" x14ac:dyDescent="0.25">
      <c r="A24" t="s">
        <v>558</v>
      </c>
    </row>
    <row r="25" spans="1:19" x14ac:dyDescent="0.25">
      <c r="A25" t="s">
        <v>559</v>
      </c>
    </row>
    <row r="26" spans="1:19" x14ac:dyDescent="0.25">
      <c r="A26" t="s">
        <v>560</v>
      </c>
    </row>
    <row r="27" spans="1:19" x14ac:dyDescent="0.25">
      <c r="A27" t="s">
        <v>561</v>
      </c>
    </row>
    <row r="76" spans="1:21" x14ac:dyDescent="0.25">
      <c r="U76" s="40">
        <v>-9882.7950000000001</v>
      </c>
    </row>
    <row r="77" spans="1:21" x14ac:dyDescent="0.25">
      <c r="U77" s="333">
        <v>-9883.4619999999995</v>
      </c>
    </row>
    <row r="78" spans="1:21" ht="13" x14ac:dyDescent="0.3">
      <c r="A78" s="77" t="s">
        <v>552</v>
      </c>
      <c r="B78" s="334" t="s">
        <v>529</v>
      </c>
      <c r="C78" t="s">
        <v>531</v>
      </c>
      <c r="D78" s="334" t="s">
        <v>532</v>
      </c>
      <c r="E78" t="s">
        <v>533</v>
      </c>
      <c r="F78" s="334" t="s">
        <v>534</v>
      </c>
      <c r="G78" t="s">
        <v>245</v>
      </c>
      <c r="H78" s="31" t="s">
        <v>610</v>
      </c>
      <c r="I78" t="s">
        <v>326</v>
      </c>
      <c r="U78" s="333">
        <v>-84013.04</v>
      </c>
    </row>
    <row r="79" spans="1:21" ht="13" x14ac:dyDescent="0.3">
      <c r="A79" s="67">
        <v>1</v>
      </c>
      <c r="B79" s="334">
        <v>-1</v>
      </c>
      <c r="C79">
        <v>-1</v>
      </c>
      <c r="D79" s="334">
        <v>-1</v>
      </c>
      <c r="E79">
        <v>1</v>
      </c>
      <c r="F79" s="334">
        <v>1</v>
      </c>
      <c r="G79">
        <v>1</v>
      </c>
      <c r="H79" s="29">
        <v>-1</v>
      </c>
      <c r="I79">
        <v>-84018.98</v>
      </c>
      <c r="U79" s="333">
        <v>-84018.98</v>
      </c>
    </row>
    <row r="80" spans="1:21" ht="13" x14ac:dyDescent="0.3">
      <c r="A80" s="67">
        <v>2</v>
      </c>
      <c r="B80" s="334">
        <v>-1</v>
      </c>
      <c r="C80">
        <v>-1</v>
      </c>
      <c r="D80" s="334">
        <v>1</v>
      </c>
      <c r="E80">
        <v>1</v>
      </c>
      <c r="F80" s="334">
        <v>-1</v>
      </c>
      <c r="G80">
        <v>-1</v>
      </c>
      <c r="H80" s="29">
        <v>1</v>
      </c>
      <c r="I80">
        <v>-205885.7</v>
      </c>
      <c r="U80" s="333">
        <v>-121854.5</v>
      </c>
    </row>
    <row r="81" spans="1:26" ht="13" x14ac:dyDescent="0.3">
      <c r="A81" s="67">
        <v>3</v>
      </c>
      <c r="B81" s="334">
        <v>-1</v>
      </c>
      <c r="C81">
        <v>1</v>
      </c>
      <c r="D81" s="334">
        <v>-1</v>
      </c>
      <c r="E81">
        <v>-1</v>
      </c>
      <c r="F81" s="334">
        <v>1</v>
      </c>
      <c r="G81">
        <v>-1</v>
      </c>
      <c r="H81" s="29">
        <v>1</v>
      </c>
      <c r="I81">
        <v>-84013.04</v>
      </c>
      <c r="U81" s="333">
        <v>-121858.4</v>
      </c>
    </row>
    <row r="82" spans="1:26" ht="13" x14ac:dyDescent="0.3">
      <c r="A82" s="67">
        <v>4</v>
      </c>
      <c r="B82" s="334">
        <v>-1</v>
      </c>
      <c r="C82">
        <v>1</v>
      </c>
      <c r="D82" s="334">
        <v>1</v>
      </c>
      <c r="E82">
        <v>-1</v>
      </c>
      <c r="F82" s="334">
        <v>-1</v>
      </c>
      <c r="G82">
        <v>1</v>
      </c>
      <c r="H82" s="29">
        <v>-1</v>
      </c>
      <c r="I82">
        <v>-205886</v>
      </c>
      <c r="U82" s="333">
        <v>-205885.7</v>
      </c>
    </row>
    <row r="83" spans="1:26" ht="13" x14ac:dyDescent="0.3">
      <c r="A83" s="67">
        <v>5</v>
      </c>
      <c r="B83" s="334">
        <v>1</v>
      </c>
      <c r="C83">
        <v>-1</v>
      </c>
      <c r="D83" s="334">
        <v>-1</v>
      </c>
      <c r="E83">
        <v>-1</v>
      </c>
      <c r="F83" s="334">
        <v>-1</v>
      </c>
      <c r="G83">
        <v>1</v>
      </c>
      <c r="H83" s="29">
        <v>1</v>
      </c>
      <c r="I83">
        <v>-9882.7950000000001</v>
      </c>
      <c r="U83" s="40">
        <v>-205886</v>
      </c>
    </row>
    <row r="84" spans="1:26" ht="13" x14ac:dyDescent="0.3">
      <c r="A84" s="67">
        <v>6</v>
      </c>
      <c r="B84" s="334">
        <v>1</v>
      </c>
      <c r="C84">
        <v>-1</v>
      </c>
      <c r="D84" s="334">
        <v>1</v>
      </c>
      <c r="E84">
        <v>-1</v>
      </c>
      <c r="F84" s="334">
        <v>1</v>
      </c>
      <c r="G84">
        <v>-1</v>
      </c>
      <c r="H84" s="29">
        <v>-1</v>
      </c>
      <c r="I84">
        <v>-121854.5</v>
      </c>
    </row>
    <row r="85" spans="1:26" ht="13" x14ac:dyDescent="0.3">
      <c r="A85" s="67">
        <v>7</v>
      </c>
      <c r="B85" s="334">
        <v>1</v>
      </c>
      <c r="C85">
        <v>1</v>
      </c>
      <c r="D85" s="334">
        <v>-1</v>
      </c>
      <c r="E85">
        <v>1</v>
      </c>
      <c r="F85" s="334">
        <v>-1</v>
      </c>
      <c r="G85">
        <v>-1</v>
      </c>
      <c r="H85" s="29">
        <v>-1</v>
      </c>
      <c r="I85">
        <v>-9883.4619999999995</v>
      </c>
    </row>
    <row r="86" spans="1:26" ht="13" x14ac:dyDescent="0.3">
      <c r="A86" s="67">
        <v>8</v>
      </c>
      <c r="B86" s="334">
        <v>1</v>
      </c>
      <c r="C86">
        <v>1</v>
      </c>
      <c r="D86" s="334">
        <v>1</v>
      </c>
      <c r="E86">
        <v>1</v>
      </c>
      <c r="F86" s="334">
        <v>1</v>
      </c>
      <c r="G86">
        <v>1</v>
      </c>
      <c r="H86" s="335">
        <v>1</v>
      </c>
      <c r="I86">
        <v>-121858.4</v>
      </c>
      <c r="K86" s="19" t="s">
        <v>611</v>
      </c>
      <c r="L86" s="19"/>
      <c r="M86" s="19"/>
      <c r="N86" s="19"/>
      <c r="O86" s="19"/>
      <c r="P86" s="19"/>
      <c r="Q86" s="19"/>
      <c r="R86" s="19"/>
      <c r="S86" s="19"/>
      <c r="T86" s="19"/>
    </row>
    <row r="87" spans="1:26" x14ac:dyDescent="0.25">
      <c r="A87" t="s">
        <v>612</v>
      </c>
      <c r="B87">
        <v>-1</v>
      </c>
      <c r="C87">
        <v>1</v>
      </c>
      <c r="D87">
        <v>1</v>
      </c>
      <c r="E87">
        <v>-1</v>
      </c>
      <c r="F87">
        <v>-1</v>
      </c>
      <c r="G87">
        <v>1</v>
      </c>
      <c r="H87" s="29">
        <v>-1</v>
      </c>
      <c r="I87">
        <v>-205882.5</v>
      </c>
      <c r="K87" s="19" t="s">
        <v>613</v>
      </c>
      <c r="L87" s="19"/>
      <c r="M87" s="19"/>
      <c r="N87" s="19"/>
      <c r="O87" s="19"/>
      <c r="P87" s="19"/>
      <c r="Q87" s="19"/>
      <c r="R87" s="19"/>
      <c r="S87" s="19"/>
      <c r="T87" s="19"/>
    </row>
    <row r="88" spans="1:26" x14ac:dyDescent="0.25">
      <c r="A88" t="s">
        <v>614</v>
      </c>
      <c r="B88">
        <v>1</v>
      </c>
      <c r="C88">
        <v>-1</v>
      </c>
      <c r="D88">
        <v>-1</v>
      </c>
      <c r="E88">
        <v>-1</v>
      </c>
      <c r="F88">
        <v>-1</v>
      </c>
      <c r="G88">
        <v>1</v>
      </c>
      <c r="H88" s="29">
        <v>1</v>
      </c>
      <c r="I88">
        <v>-9880.3410000000003</v>
      </c>
      <c r="K88" s="19" t="s">
        <v>615</v>
      </c>
      <c r="L88" s="19"/>
      <c r="M88" s="19"/>
      <c r="N88" s="19"/>
      <c r="O88" s="19"/>
      <c r="P88" s="19"/>
      <c r="Q88" s="19"/>
      <c r="R88" s="19"/>
      <c r="S88" s="19"/>
      <c r="T88" s="19"/>
    </row>
    <row r="89" spans="1:26" x14ac:dyDescent="0.25">
      <c r="K89" s="19" t="s">
        <v>616</v>
      </c>
      <c r="L89" s="19"/>
      <c r="M89" s="19"/>
      <c r="N89" s="19"/>
      <c r="O89" s="19"/>
      <c r="P89" s="19"/>
      <c r="Q89" s="19"/>
      <c r="R89" s="19"/>
      <c r="S89" s="19"/>
      <c r="T89" s="19"/>
    </row>
    <row r="90" spans="1:26" x14ac:dyDescent="0.25">
      <c r="B90">
        <f>SUM(B79:B86)</f>
        <v>0</v>
      </c>
      <c r="C90">
        <f t="shared" ref="C90:H90" si="1">SUM(C79:C86)</f>
        <v>0</v>
      </c>
      <c r="D90">
        <f t="shared" si="1"/>
        <v>0</v>
      </c>
      <c r="E90">
        <f t="shared" si="1"/>
        <v>0</v>
      </c>
      <c r="F90">
        <f t="shared" si="1"/>
        <v>0</v>
      </c>
      <c r="G90">
        <f t="shared" si="1"/>
        <v>0</v>
      </c>
      <c r="H90">
        <f t="shared" si="1"/>
        <v>0</v>
      </c>
      <c r="K90" s="19" t="s">
        <v>617</v>
      </c>
      <c r="L90" s="19"/>
      <c r="M90" s="19"/>
      <c r="N90" s="19"/>
      <c r="O90" s="19"/>
      <c r="P90" s="19"/>
      <c r="Q90" s="19"/>
      <c r="R90" s="19"/>
      <c r="S90" s="19"/>
      <c r="T90" s="19"/>
    </row>
    <row r="93" spans="1:26" x14ac:dyDescent="0.25">
      <c r="A93" s="19" t="s">
        <v>618</v>
      </c>
      <c r="B93" s="19"/>
      <c r="C93" s="19"/>
      <c r="D93" s="19"/>
      <c r="E93" s="19"/>
      <c r="F93" s="19"/>
      <c r="G93" s="19"/>
      <c r="H93" s="19"/>
      <c r="I93" s="19"/>
      <c r="J93" s="19"/>
      <c r="K93" s="19"/>
      <c r="L93" s="19"/>
      <c r="M93" s="19"/>
      <c r="N93" s="19"/>
      <c r="O93" s="19"/>
      <c r="Y93" t="s">
        <v>415</v>
      </c>
    </row>
    <row r="94" spans="1:26" x14ac:dyDescent="0.25">
      <c r="A94" s="19" t="s">
        <v>619</v>
      </c>
      <c r="B94" s="19"/>
      <c r="C94" s="19"/>
      <c r="D94" s="19"/>
      <c r="E94" s="19"/>
      <c r="F94" s="19"/>
      <c r="G94" s="19"/>
      <c r="H94" s="19"/>
      <c r="I94" s="19"/>
      <c r="J94" s="19"/>
      <c r="K94" s="19"/>
      <c r="L94" s="19"/>
      <c r="M94" s="19"/>
      <c r="N94" s="19"/>
      <c r="O94" s="19"/>
      <c r="P94" t="s">
        <v>415</v>
      </c>
    </row>
    <row r="95" spans="1:26" ht="13" x14ac:dyDescent="0.3">
      <c r="A95" s="19"/>
      <c r="B95" s="19"/>
      <c r="C95" s="19"/>
      <c r="D95" s="19"/>
      <c r="E95" s="19"/>
      <c r="F95" s="19"/>
      <c r="G95" s="19"/>
      <c r="H95" s="19"/>
      <c r="I95" s="19"/>
      <c r="J95" s="19"/>
      <c r="K95" s="19"/>
      <c r="L95" s="19"/>
      <c r="M95" s="19"/>
      <c r="N95" s="19"/>
      <c r="O95" s="19"/>
      <c r="Y95" s="406" t="s">
        <v>417</v>
      </c>
      <c r="Z95" s="406"/>
    </row>
    <row r="96" spans="1:26" ht="13" x14ac:dyDescent="0.3">
      <c r="A96" s="19" t="s">
        <v>620</v>
      </c>
      <c r="B96" s="19"/>
      <c r="C96" s="19"/>
      <c r="D96" s="19"/>
      <c r="E96" s="19"/>
      <c r="F96" s="19"/>
      <c r="G96" s="19"/>
      <c r="H96" s="19"/>
      <c r="I96" s="19"/>
      <c r="J96" s="19"/>
      <c r="K96" s="19"/>
      <c r="L96" s="19"/>
      <c r="M96" s="19"/>
      <c r="N96" s="19"/>
      <c r="O96" s="19"/>
      <c r="P96" s="406" t="s">
        <v>417</v>
      </c>
      <c r="Q96" s="406"/>
      <c r="Y96" t="s">
        <v>419</v>
      </c>
      <c r="Z96">
        <v>0.99999999992272792</v>
      </c>
    </row>
    <row r="97" spans="1:33" x14ac:dyDescent="0.25">
      <c r="A97" s="19" t="s">
        <v>621</v>
      </c>
      <c r="B97" s="19"/>
      <c r="C97" s="19"/>
      <c r="D97" s="19"/>
      <c r="E97" s="19"/>
      <c r="F97" s="19"/>
      <c r="G97" s="19"/>
      <c r="H97" s="19"/>
      <c r="I97" s="19"/>
      <c r="J97" s="19"/>
      <c r="K97" s="19"/>
      <c r="L97" s="19"/>
      <c r="M97" s="19"/>
      <c r="N97" s="19"/>
      <c r="O97" s="19"/>
      <c r="P97" t="s">
        <v>419</v>
      </c>
      <c r="Q97">
        <v>0.99999999992704225</v>
      </c>
      <c r="Y97" t="s">
        <v>421</v>
      </c>
      <c r="Z97">
        <v>0.99999999984545584</v>
      </c>
    </row>
    <row r="98" spans="1:33" x14ac:dyDescent="0.25">
      <c r="A98" s="19"/>
      <c r="B98" s="19"/>
      <c r="C98" s="19"/>
      <c r="D98" s="19"/>
      <c r="E98" s="19"/>
      <c r="F98" s="19"/>
      <c r="G98" s="19"/>
      <c r="H98" s="19"/>
      <c r="I98" s="19"/>
      <c r="J98" s="19"/>
      <c r="K98" s="19"/>
      <c r="L98" s="19"/>
      <c r="M98" s="19"/>
      <c r="N98" s="19"/>
      <c r="O98" s="19"/>
      <c r="P98" t="s">
        <v>421</v>
      </c>
      <c r="Q98">
        <v>0.99999999985408461</v>
      </c>
      <c r="Y98" t="s">
        <v>423</v>
      </c>
      <c r="Z98">
        <v>0.99999999930455097</v>
      </c>
    </row>
    <row r="99" spans="1:33" x14ac:dyDescent="0.25">
      <c r="A99" s="19" t="s">
        <v>622</v>
      </c>
      <c r="B99" s="19"/>
      <c r="C99" s="19"/>
      <c r="D99" s="19"/>
      <c r="E99" s="19"/>
      <c r="F99" s="19"/>
      <c r="G99" s="19"/>
      <c r="H99" s="19"/>
      <c r="I99" s="19"/>
      <c r="J99" s="19"/>
      <c r="K99" s="19"/>
      <c r="L99" s="19"/>
      <c r="M99" s="19"/>
      <c r="N99" s="19"/>
      <c r="O99" s="19"/>
      <c r="P99" t="s">
        <v>423</v>
      </c>
      <c r="Q99">
        <v>0.99999999956225361</v>
      </c>
      <c r="Y99" t="s">
        <v>425</v>
      </c>
      <c r="Z99">
        <v>2.1372947854627014</v>
      </c>
    </row>
    <row r="100" spans="1:33" x14ac:dyDescent="0.25">
      <c r="A100" s="19" t="s">
        <v>623</v>
      </c>
      <c r="B100" s="19"/>
      <c r="C100" s="19"/>
      <c r="D100" s="19"/>
      <c r="E100" s="19"/>
      <c r="F100" s="19"/>
      <c r="G100" s="19"/>
      <c r="H100" s="19"/>
      <c r="I100" s="19"/>
      <c r="J100" s="19"/>
      <c r="K100" s="19"/>
      <c r="L100" s="19"/>
      <c r="M100" s="19"/>
      <c r="N100" s="19"/>
      <c r="O100" s="19"/>
      <c r="P100" t="s">
        <v>425</v>
      </c>
      <c r="Q100">
        <v>2.3489997871326409</v>
      </c>
      <c r="Y100" s="119" t="s">
        <v>216</v>
      </c>
      <c r="Z100" s="119">
        <v>10</v>
      </c>
    </row>
    <row r="101" spans="1:33" x14ac:dyDescent="0.25">
      <c r="A101" s="19"/>
      <c r="B101" s="19"/>
      <c r="C101" s="19"/>
      <c r="D101" s="19"/>
      <c r="E101" s="19"/>
      <c r="F101" s="19"/>
      <c r="G101" s="19"/>
      <c r="H101" s="19"/>
      <c r="I101" s="19"/>
      <c r="J101" s="19"/>
      <c r="K101" s="19"/>
      <c r="L101" s="19"/>
      <c r="M101" s="19"/>
      <c r="N101" s="19"/>
      <c r="O101" s="19"/>
      <c r="P101" s="119" t="s">
        <v>216</v>
      </c>
      <c r="Q101" s="119">
        <v>10</v>
      </c>
    </row>
    <row r="102" spans="1:33" x14ac:dyDescent="0.25">
      <c r="A102" s="19" t="s">
        <v>624</v>
      </c>
      <c r="B102" s="19"/>
      <c r="C102" s="19"/>
      <c r="D102" s="19"/>
      <c r="E102" s="19"/>
      <c r="F102" s="19"/>
      <c r="G102" s="19"/>
      <c r="H102" s="19"/>
      <c r="I102" s="19"/>
      <c r="J102" s="19"/>
      <c r="K102" s="19"/>
      <c r="L102" s="19"/>
      <c r="M102" s="19"/>
      <c r="N102" s="19"/>
      <c r="O102" s="19"/>
      <c r="Y102" t="s">
        <v>428</v>
      </c>
    </row>
    <row r="103" spans="1:33" ht="13" x14ac:dyDescent="0.3">
      <c r="A103" s="19"/>
      <c r="B103" s="19"/>
      <c r="C103" s="19"/>
      <c r="D103" s="19"/>
      <c r="E103" s="19"/>
      <c r="F103" s="19"/>
      <c r="G103" s="19"/>
      <c r="H103" s="19"/>
      <c r="I103" s="19"/>
      <c r="J103" s="19"/>
      <c r="K103" s="19"/>
      <c r="L103" s="19"/>
      <c r="M103" s="19"/>
      <c r="N103" s="19"/>
      <c r="O103" s="19"/>
      <c r="P103" t="s">
        <v>428</v>
      </c>
      <c r="Y103" s="141"/>
      <c r="Z103" s="141" t="s">
        <v>219</v>
      </c>
      <c r="AA103" s="141" t="s">
        <v>429</v>
      </c>
      <c r="AB103" s="141" t="s">
        <v>430</v>
      </c>
      <c r="AC103" s="141" t="s">
        <v>245</v>
      </c>
      <c r="AD103" s="141" t="s">
        <v>431</v>
      </c>
    </row>
    <row r="104" spans="1:33" ht="13" x14ac:dyDescent="0.3">
      <c r="A104" s="19" t="s">
        <v>625</v>
      </c>
      <c r="B104" s="19"/>
      <c r="C104" s="19"/>
      <c r="D104" s="19"/>
      <c r="E104" s="19"/>
      <c r="F104" s="19"/>
      <c r="G104" s="19"/>
      <c r="H104" s="19"/>
      <c r="I104" s="19"/>
      <c r="J104" s="19"/>
      <c r="K104" s="19"/>
      <c r="L104" s="19"/>
      <c r="M104" s="19"/>
      <c r="N104" s="19"/>
      <c r="O104" s="19"/>
      <c r="P104" s="141"/>
      <c r="Q104" s="141" t="s">
        <v>219</v>
      </c>
      <c r="R104" s="141" t="s">
        <v>429</v>
      </c>
      <c r="S104" s="141" t="s">
        <v>430</v>
      </c>
      <c r="T104" s="141" t="s">
        <v>245</v>
      </c>
      <c r="U104" s="141" t="s">
        <v>431</v>
      </c>
      <c r="Y104" t="s">
        <v>383</v>
      </c>
      <c r="Z104">
        <v>7</v>
      </c>
      <c r="AA104">
        <v>59116129283.676147</v>
      </c>
      <c r="AB104">
        <v>8445161326.2394495</v>
      </c>
      <c r="AC104">
        <v>1848753877.5043256</v>
      </c>
      <c r="AD104">
        <v>5.4090488292665671E-10</v>
      </c>
    </row>
    <row r="105" spans="1:33" x14ac:dyDescent="0.25">
      <c r="A105" s="19" t="s">
        <v>626</v>
      </c>
      <c r="B105" s="19"/>
      <c r="C105" s="19"/>
      <c r="D105" s="19"/>
      <c r="E105" s="19"/>
      <c r="F105" s="19"/>
      <c r="G105" s="19"/>
      <c r="H105" s="19"/>
      <c r="I105" s="19"/>
      <c r="J105" s="19"/>
      <c r="K105" s="19"/>
      <c r="L105" s="19"/>
      <c r="M105" s="19"/>
      <c r="N105" s="19"/>
      <c r="O105" s="19"/>
      <c r="P105" t="s">
        <v>383</v>
      </c>
      <c r="Q105">
        <v>6</v>
      </c>
      <c r="R105">
        <v>113445261238.88914</v>
      </c>
      <c r="S105">
        <v>18907543539.814857</v>
      </c>
      <c r="T105">
        <v>3426645318.784471</v>
      </c>
      <c r="U105">
        <v>7.7113307714065529E-15</v>
      </c>
      <c r="Y105" t="s">
        <v>434</v>
      </c>
      <c r="Z105">
        <v>2</v>
      </c>
      <c r="AA105">
        <v>9.1360579999321079</v>
      </c>
      <c r="AB105">
        <v>4.5680289999660539</v>
      </c>
    </row>
    <row r="106" spans="1:33" x14ac:dyDescent="0.25">
      <c r="A106" s="19" t="s">
        <v>627</v>
      </c>
      <c r="B106" s="19"/>
      <c r="C106" s="19"/>
      <c r="D106" s="19"/>
      <c r="E106" s="19"/>
      <c r="F106" s="19"/>
      <c r="G106" s="19"/>
      <c r="H106" s="19"/>
      <c r="I106" s="19"/>
      <c r="J106" s="19"/>
      <c r="K106" s="19"/>
      <c r="L106" s="19"/>
      <c r="M106" s="19"/>
      <c r="N106" s="19"/>
      <c r="O106" s="19"/>
      <c r="P106" t="s">
        <v>434</v>
      </c>
      <c r="Q106">
        <v>3</v>
      </c>
      <c r="R106">
        <v>16.553399999847578</v>
      </c>
      <c r="S106">
        <v>5.5177999999491929</v>
      </c>
      <c r="Y106" s="119" t="s">
        <v>436</v>
      </c>
      <c r="Z106" s="119">
        <v>9</v>
      </c>
      <c r="AA106" s="119">
        <v>59116129292.812202</v>
      </c>
      <c r="AB106" s="119"/>
      <c r="AC106" s="119"/>
      <c r="AD106" s="119"/>
    </row>
    <row r="107" spans="1:33" x14ac:dyDescent="0.25">
      <c r="A107" s="19" t="s">
        <v>628</v>
      </c>
      <c r="B107" s="19"/>
      <c r="C107" s="19"/>
      <c r="D107" s="19"/>
      <c r="E107" s="19"/>
      <c r="F107" s="19"/>
      <c r="G107" s="19"/>
      <c r="H107" s="19"/>
      <c r="I107" s="19"/>
      <c r="J107" s="19"/>
      <c r="K107" s="19"/>
      <c r="L107" s="19"/>
      <c r="M107" s="19"/>
      <c r="N107" s="19"/>
      <c r="O107" s="19"/>
      <c r="P107" s="119" t="s">
        <v>436</v>
      </c>
      <c r="Q107" s="119">
        <v>9</v>
      </c>
      <c r="R107" s="119">
        <v>113445261255.44255</v>
      </c>
      <c r="S107" s="119"/>
      <c r="T107" s="119"/>
      <c r="U107" s="119"/>
    </row>
    <row r="108" spans="1:33" ht="13" x14ac:dyDescent="0.3">
      <c r="A108" s="19" t="s">
        <v>629</v>
      </c>
      <c r="B108" s="19"/>
      <c r="C108" s="19"/>
      <c r="D108" s="19"/>
      <c r="E108" s="19"/>
      <c r="F108" s="19"/>
      <c r="G108" s="19"/>
      <c r="H108" s="19"/>
      <c r="I108" s="19"/>
      <c r="J108" s="19"/>
      <c r="K108" s="19"/>
      <c r="L108" s="19"/>
      <c r="M108" s="19"/>
      <c r="N108" s="19"/>
      <c r="O108" s="19"/>
      <c r="Y108" s="141"/>
      <c r="Z108" s="141" t="s">
        <v>438</v>
      </c>
      <c r="AA108" s="141" t="s">
        <v>425</v>
      </c>
      <c r="AB108" s="141" t="s">
        <v>439</v>
      </c>
      <c r="AC108" s="141" t="s">
        <v>440</v>
      </c>
      <c r="AD108" s="141" t="s">
        <v>441</v>
      </c>
      <c r="AE108" s="141" t="s">
        <v>442</v>
      </c>
      <c r="AF108" s="141" t="s">
        <v>566</v>
      </c>
      <c r="AG108" s="141" t="s">
        <v>567</v>
      </c>
    </row>
    <row r="109" spans="1:33" ht="13" x14ac:dyDescent="0.3">
      <c r="A109" s="19" t="s">
        <v>630</v>
      </c>
      <c r="B109" s="19"/>
      <c r="C109" s="19"/>
      <c r="D109" s="19"/>
      <c r="E109" s="19"/>
      <c r="F109" s="19"/>
      <c r="G109" s="19"/>
      <c r="H109" s="19"/>
      <c r="I109" s="19"/>
      <c r="J109" s="19"/>
      <c r="K109" s="19"/>
      <c r="L109" s="19"/>
      <c r="M109" s="19"/>
      <c r="N109" s="19"/>
      <c r="O109" s="19"/>
      <c r="P109" s="141"/>
      <c r="Q109" s="141" t="s">
        <v>438</v>
      </c>
      <c r="R109" s="141" t="s">
        <v>425</v>
      </c>
      <c r="S109" s="141" t="s">
        <v>439</v>
      </c>
      <c r="T109" s="141" t="s">
        <v>440</v>
      </c>
      <c r="U109" s="141" t="s">
        <v>441</v>
      </c>
      <c r="V109" s="141" t="s">
        <v>442</v>
      </c>
      <c r="W109" s="141" t="s">
        <v>566</v>
      </c>
      <c r="X109" s="141" t="s">
        <v>567</v>
      </c>
      <c r="Y109" t="s">
        <v>445</v>
      </c>
      <c r="Z109">
        <v>-105409.98749999999</v>
      </c>
      <c r="AA109">
        <v>0.70684381009618169</v>
      </c>
      <c r="AB109">
        <v>-149127.69411626685</v>
      </c>
      <c r="AC109">
        <v>4.4965910802747221E-11</v>
      </c>
      <c r="AD109">
        <v>-105413.02880344886</v>
      </c>
      <c r="AE109">
        <v>-105406.94619655111</v>
      </c>
      <c r="AF109">
        <v>-105413.02880344886</v>
      </c>
      <c r="AG109">
        <v>-105406.94619655111</v>
      </c>
    </row>
    <row r="110" spans="1:33" x14ac:dyDescent="0.25">
      <c r="A110" s="19" t="s">
        <v>631</v>
      </c>
      <c r="B110" s="19"/>
      <c r="C110" s="19"/>
      <c r="D110" s="19"/>
      <c r="E110" s="19"/>
      <c r="F110" s="19"/>
      <c r="G110" s="19"/>
      <c r="H110" s="19"/>
      <c r="I110" s="19"/>
      <c r="J110" s="19"/>
      <c r="K110" s="19"/>
      <c r="L110" s="19"/>
      <c r="M110" s="19"/>
      <c r="N110" s="19"/>
      <c r="O110" s="19"/>
      <c r="P110" t="s">
        <v>445</v>
      </c>
      <c r="Q110">
        <v>-140023.23749999999</v>
      </c>
      <c r="R110">
        <v>0.77685865831207868</v>
      </c>
      <c r="S110">
        <v>-180242.87430127352</v>
      </c>
      <c r="T110">
        <v>3.7661397622724644E-16</v>
      </c>
      <c r="U110">
        <v>-140025.70981096654</v>
      </c>
      <c r="V110">
        <v>-140020.76518903344</v>
      </c>
      <c r="W110">
        <v>-140025.70981096654</v>
      </c>
      <c r="X110">
        <v>-140020.76518903344</v>
      </c>
      <c r="Y110" s="334" t="s">
        <v>529</v>
      </c>
      <c r="Z110" s="334">
        <v>790.81009999999981</v>
      </c>
      <c r="AA110" s="334">
        <v>1.4136876201923635E-2</v>
      </c>
      <c r="AB110" s="334">
        <v>55939.522190368516</v>
      </c>
      <c r="AC110" s="336">
        <v>3.1956741874859572E-10</v>
      </c>
      <c r="AD110">
        <v>790.74927393102234</v>
      </c>
      <c r="AE110">
        <v>790.87092606897727</v>
      </c>
      <c r="AF110">
        <v>790.74927393102234</v>
      </c>
      <c r="AG110">
        <v>790.87092606897727</v>
      </c>
    </row>
    <row r="111" spans="1:33" x14ac:dyDescent="0.25">
      <c r="P111" s="156" t="s">
        <v>529</v>
      </c>
      <c r="Q111" s="156">
        <v>467.8168499999997</v>
      </c>
      <c r="R111" s="156">
        <v>1.5377813331386403E-2</v>
      </c>
      <c r="S111" s="156">
        <v>30421.545633225811</v>
      </c>
      <c r="T111" s="337">
        <v>7.8329781951567292E-14</v>
      </c>
      <c r="U111">
        <v>467.76791093478602</v>
      </c>
      <c r="V111">
        <v>467.86578906521339</v>
      </c>
      <c r="W111">
        <v>467.76791093478602</v>
      </c>
      <c r="X111">
        <v>467.86578906521339</v>
      </c>
      <c r="Y111" t="s">
        <v>531</v>
      </c>
      <c r="Z111">
        <v>3.9899999999018299E-3</v>
      </c>
      <c r="AA111">
        <v>1.4136876201923637E-2</v>
      </c>
      <c r="AB111">
        <v>0.28224057018755683</v>
      </c>
      <c r="AC111" s="319">
        <v>0.80428536661518035</v>
      </c>
      <c r="AD111">
        <v>-5.6836068977538193E-2</v>
      </c>
      <c r="AE111">
        <v>6.4816068977341851E-2</v>
      </c>
      <c r="AF111">
        <v>-5.6836068977538193E-2</v>
      </c>
      <c r="AG111">
        <v>6.4816068977341851E-2</v>
      </c>
    </row>
    <row r="112" spans="1:33" x14ac:dyDescent="0.25">
      <c r="P112" t="s">
        <v>531</v>
      </c>
      <c r="Q112">
        <v>1.5850000000257134E-2</v>
      </c>
      <c r="R112">
        <v>1.5377813331386403E-2</v>
      </c>
      <c r="S112">
        <v>1.0307057094981762</v>
      </c>
      <c r="T112" s="319">
        <v>0.37849942022368133</v>
      </c>
      <c r="U112">
        <v>-3.3089065213453742E-2</v>
      </c>
      <c r="V112">
        <v>6.4789065213968003E-2</v>
      </c>
      <c r="W112">
        <v>-3.3089065213453742E-2</v>
      </c>
      <c r="X112">
        <v>6.4789065213968003E-2</v>
      </c>
      <c r="Y112" s="334" t="s">
        <v>532</v>
      </c>
      <c r="Z112" s="334">
        <v>-1169.2144999999998</v>
      </c>
      <c r="AA112" s="334">
        <v>1.4136876201923637E-2</v>
      </c>
      <c r="AB112" s="334">
        <v>-82706.708561322914</v>
      </c>
      <c r="AC112" s="336">
        <v>1.4619028889656018E-10</v>
      </c>
      <c r="AD112">
        <v>-1169.2753260689772</v>
      </c>
      <c r="AE112">
        <v>-1169.1536739310225</v>
      </c>
      <c r="AF112">
        <v>-1169.2753260689772</v>
      </c>
      <c r="AG112">
        <v>-1169.1536739310225</v>
      </c>
    </row>
    <row r="113" spans="1:33" ht="13" x14ac:dyDescent="0.3">
      <c r="A113" s="386" t="s">
        <v>632</v>
      </c>
      <c r="B113" s="386"/>
      <c r="C113" s="386"/>
      <c r="D113" s="386"/>
      <c r="E113" s="386"/>
      <c r="F113" s="386"/>
      <c r="G113" s="386"/>
      <c r="H113" s="386"/>
      <c r="I113" s="386"/>
      <c r="P113" s="156" t="s">
        <v>532</v>
      </c>
      <c r="Q113" s="156">
        <v>-1961.0049000000004</v>
      </c>
      <c r="R113" s="156">
        <v>1.5377813331386403E-2</v>
      </c>
      <c r="S113" s="156">
        <v>-127521.70011048013</v>
      </c>
      <c r="T113" s="337">
        <v>1.0634533988964295E-15</v>
      </c>
      <c r="U113">
        <v>-1961.0538390652141</v>
      </c>
      <c r="V113">
        <v>-1960.9559609347866</v>
      </c>
      <c r="W113">
        <v>-1961.0538390652141</v>
      </c>
      <c r="X113">
        <v>-1960.9559609347866</v>
      </c>
      <c r="Y113" t="s">
        <v>533</v>
      </c>
      <c r="Z113">
        <v>-3.2960000000016851E-2</v>
      </c>
      <c r="AA113">
        <v>1.4136876201923637E-2</v>
      </c>
      <c r="AB113">
        <v>-2.3314910259687998</v>
      </c>
      <c r="AC113" s="319">
        <v>0.14499544916585086</v>
      </c>
      <c r="AD113">
        <v>-9.3786068977456866E-2</v>
      </c>
      <c r="AE113">
        <v>2.7866068977423171E-2</v>
      </c>
      <c r="AF113">
        <v>-9.3786068977456866E-2</v>
      </c>
      <c r="AG113">
        <v>2.7866068977423171E-2</v>
      </c>
    </row>
    <row r="114" spans="1:33" ht="13" x14ac:dyDescent="0.3">
      <c r="A114" s="332"/>
      <c r="B114" s="422" t="s">
        <v>551</v>
      </c>
      <c r="C114" s="422"/>
      <c r="D114" s="422"/>
      <c r="E114" s="422"/>
      <c r="F114" s="422"/>
      <c r="G114" s="422"/>
      <c r="H114" s="422"/>
      <c r="P114" t="s">
        <v>533</v>
      </c>
      <c r="Q114">
        <v>-2.0450000000103528E-2</v>
      </c>
      <c r="R114">
        <v>1.5537173166241574E-2</v>
      </c>
      <c r="S114">
        <v>-1.3161982415524793</v>
      </c>
      <c r="T114" s="319">
        <v>0.27963897015097827</v>
      </c>
      <c r="U114">
        <v>-6.9896219331396628E-2</v>
      </c>
      <c r="V114">
        <v>2.8996219331189569E-2</v>
      </c>
      <c r="W114">
        <v>-6.9896219331396628E-2</v>
      </c>
      <c r="X114">
        <v>2.8996219331189569E-2</v>
      </c>
      <c r="Y114" s="334" t="s">
        <v>534</v>
      </c>
      <c r="Z114" s="334">
        <v>49.47515000000039</v>
      </c>
      <c r="AA114" s="334">
        <v>1.4136876201923634E-2</v>
      </c>
      <c r="AB114" s="334">
        <v>3499.7229439745824</v>
      </c>
      <c r="AC114" s="336">
        <v>8.164556848599014E-8</v>
      </c>
      <c r="AD114">
        <v>49.414323931022949</v>
      </c>
      <c r="AE114">
        <v>49.535976068977831</v>
      </c>
      <c r="AF114">
        <v>49.414323931022949</v>
      </c>
      <c r="AG114">
        <v>49.535976068977831</v>
      </c>
    </row>
    <row r="115" spans="1:33" ht="13" x14ac:dyDescent="0.3">
      <c r="A115" s="77" t="s">
        <v>552</v>
      </c>
      <c r="B115" s="338" t="s">
        <v>529</v>
      </c>
      <c r="C115" s="338" t="s">
        <v>532</v>
      </c>
      <c r="D115" s="338" t="s">
        <v>534</v>
      </c>
      <c r="E115" s="67" t="s">
        <v>544</v>
      </c>
      <c r="F115" s="67" t="s">
        <v>633</v>
      </c>
      <c r="G115" s="67" t="s">
        <v>634</v>
      </c>
      <c r="H115" s="67" t="s">
        <v>635</v>
      </c>
      <c r="I115" s="339" t="s">
        <v>326</v>
      </c>
      <c r="P115" s="156" t="s">
        <v>534</v>
      </c>
      <c r="Q115" s="156">
        <v>332.9858000000001</v>
      </c>
      <c r="R115" s="156">
        <v>1.553717316624157E-2</v>
      </c>
      <c r="S115" s="156">
        <v>21431.556206343619</v>
      </c>
      <c r="T115" s="337">
        <v>2.2403177505836712E-13</v>
      </c>
      <c r="U115">
        <v>332.93635378066881</v>
      </c>
      <c r="V115">
        <v>333.03524621933138</v>
      </c>
      <c r="W115">
        <v>332.93635378066881</v>
      </c>
      <c r="X115">
        <v>333.03524621933138</v>
      </c>
      <c r="Y115" t="s">
        <v>245</v>
      </c>
      <c r="Z115">
        <v>-1.6239999999835542E-2</v>
      </c>
      <c r="AA115">
        <v>1.4136876201923637E-2</v>
      </c>
      <c r="AB115">
        <v>-1.148768636569494</v>
      </c>
      <c r="AC115" s="319">
        <v>0.36949990887964246</v>
      </c>
      <c r="AD115">
        <v>-7.7066068977275567E-2</v>
      </c>
      <c r="AE115">
        <v>4.4586068977604476E-2</v>
      </c>
      <c r="AF115">
        <v>-7.7066068977275567E-2</v>
      </c>
      <c r="AG115">
        <v>4.4586068977604476E-2</v>
      </c>
    </row>
    <row r="116" spans="1:33" ht="13" x14ac:dyDescent="0.3">
      <c r="A116" s="67">
        <v>1</v>
      </c>
      <c r="B116" s="70">
        <v>-1</v>
      </c>
      <c r="C116" s="70">
        <v>-1</v>
      </c>
      <c r="D116" s="70">
        <v>-1</v>
      </c>
      <c r="E116" s="70">
        <v>1</v>
      </c>
      <c r="F116" s="70">
        <v>1</v>
      </c>
      <c r="G116" s="70">
        <v>1</v>
      </c>
      <c r="H116" s="340">
        <v>-1</v>
      </c>
      <c r="I116" s="32"/>
      <c r="P116" s="119" t="s">
        <v>245</v>
      </c>
      <c r="Q116" s="119">
        <v>-7.2000000000713611E-3</v>
      </c>
      <c r="R116" s="119">
        <v>1.5537173166241572E-2</v>
      </c>
      <c r="S116" s="119">
        <v>-0.46340475986424462</v>
      </c>
      <c r="T116" s="320">
        <v>0.67462441045472066</v>
      </c>
      <c r="U116" s="119">
        <v>-5.6646219331364447E-2</v>
      </c>
      <c r="V116" s="119">
        <v>4.2246219331221732E-2</v>
      </c>
      <c r="W116" s="119">
        <v>-5.6646219331364447E-2</v>
      </c>
      <c r="X116" s="119">
        <v>4.2246219331221732E-2</v>
      </c>
      <c r="Y116" s="119" t="s">
        <v>610</v>
      </c>
      <c r="Z116" s="119">
        <v>6.2099999999886907E-3</v>
      </c>
      <c r="AA116" s="119">
        <v>1.4136876201923635E-2</v>
      </c>
      <c r="AB116" s="119">
        <v>0.43927667691846112</v>
      </c>
      <c r="AC116" s="320">
        <v>0.70336499858579105</v>
      </c>
      <c r="AD116" s="119">
        <v>-5.4616068977451318E-2</v>
      </c>
      <c r="AE116" s="119">
        <v>6.7036068977428698E-2</v>
      </c>
      <c r="AF116" s="119">
        <v>-5.4616068977451318E-2</v>
      </c>
      <c r="AG116" s="119">
        <v>6.7036068977428698E-2</v>
      </c>
    </row>
    <row r="117" spans="1:33" ht="13" x14ac:dyDescent="0.3">
      <c r="A117" s="67">
        <v>2</v>
      </c>
      <c r="B117" s="341">
        <v>-1</v>
      </c>
      <c r="C117" s="341">
        <v>-1</v>
      </c>
      <c r="D117" s="341">
        <v>1</v>
      </c>
      <c r="E117" s="70">
        <v>1</v>
      </c>
      <c r="F117" s="70">
        <v>-1</v>
      </c>
      <c r="G117" s="70">
        <v>-1</v>
      </c>
      <c r="H117" s="340">
        <v>1</v>
      </c>
    </row>
    <row r="118" spans="1:33" ht="13" x14ac:dyDescent="0.3">
      <c r="A118" s="67">
        <v>3</v>
      </c>
      <c r="B118" s="341">
        <v>-1</v>
      </c>
      <c r="C118" s="341">
        <v>1</v>
      </c>
      <c r="D118" s="341">
        <v>-1</v>
      </c>
      <c r="E118" s="70">
        <v>-1</v>
      </c>
      <c r="F118" s="70">
        <v>1</v>
      </c>
      <c r="G118" s="70">
        <v>-1</v>
      </c>
      <c r="H118" s="340">
        <v>1</v>
      </c>
    </row>
    <row r="119" spans="1:33" ht="13" x14ac:dyDescent="0.3">
      <c r="A119" s="67">
        <v>4</v>
      </c>
      <c r="B119" s="70">
        <v>-1</v>
      </c>
      <c r="C119" s="70">
        <v>1</v>
      </c>
      <c r="D119" s="70">
        <v>1</v>
      </c>
      <c r="E119" s="70">
        <v>-1</v>
      </c>
      <c r="F119" s="70">
        <v>-1</v>
      </c>
      <c r="G119" s="70">
        <v>1</v>
      </c>
      <c r="H119" s="340">
        <v>-1</v>
      </c>
      <c r="I119" s="32"/>
    </row>
    <row r="120" spans="1:33" ht="13" x14ac:dyDescent="0.3">
      <c r="A120" s="67">
        <v>5</v>
      </c>
      <c r="B120" s="341">
        <v>1</v>
      </c>
      <c r="C120" s="341">
        <v>-1</v>
      </c>
      <c r="D120" s="341">
        <v>-1</v>
      </c>
      <c r="E120" s="70">
        <v>-1</v>
      </c>
      <c r="F120" s="70">
        <v>-1</v>
      </c>
      <c r="G120" s="70">
        <v>1</v>
      </c>
      <c r="H120" s="340">
        <v>1</v>
      </c>
    </row>
    <row r="121" spans="1:33" ht="13" x14ac:dyDescent="0.3">
      <c r="A121" s="67">
        <v>6</v>
      </c>
      <c r="B121" s="70">
        <v>1</v>
      </c>
      <c r="C121" s="70">
        <v>-1</v>
      </c>
      <c r="D121" s="70">
        <v>1</v>
      </c>
      <c r="E121" s="70">
        <v>-1</v>
      </c>
      <c r="F121" s="70">
        <v>1</v>
      </c>
      <c r="G121" s="70">
        <v>-1</v>
      </c>
      <c r="H121" s="340">
        <v>-1</v>
      </c>
      <c r="I121" s="32"/>
      <c r="Q121" s="19" t="s">
        <v>636</v>
      </c>
      <c r="R121" s="19"/>
      <c r="S121" s="19"/>
      <c r="T121" s="19"/>
      <c r="U121" s="19"/>
    </row>
    <row r="122" spans="1:33" ht="13" x14ac:dyDescent="0.3">
      <c r="A122" s="67">
        <v>7</v>
      </c>
      <c r="B122" s="70">
        <v>1</v>
      </c>
      <c r="C122" s="70">
        <v>1</v>
      </c>
      <c r="D122" s="70">
        <v>-1</v>
      </c>
      <c r="E122" s="70">
        <v>1</v>
      </c>
      <c r="F122" s="70">
        <v>-1</v>
      </c>
      <c r="G122" s="70">
        <v>-1</v>
      </c>
      <c r="H122" s="340">
        <v>-1</v>
      </c>
      <c r="I122" s="32"/>
      <c r="Q122" s="19" t="s">
        <v>637</v>
      </c>
      <c r="R122" s="19"/>
      <c r="S122" s="19"/>
      <c r="T122" s="19"/>
      <c r="U122" s="19"/>
    </row>
    <row r="123" spans="1:33" ht="13" x14ac:dyDescent="0.3">
      <c r="A123" s="67">
        <v>8</v>
      </c>
      <c r="B123" s="341">
        <v>1</v>
      </c>
      <c r="C123" s="341">
        <v>1</v>
      </c>
      <c r="D123" s="341">
        <v>1</v>
      </c>
      <c r="E123" s="70">
        <v>1</v>
      </c>
      <c r="F123" s="70">
        <v>1</v>
      </c>
      <c r="G123" s="70">
        <v>1</v>
      </c>
      <c r="H123" s="340">
        <v>1</v>
      </c>
      <c r="K123" s="31"/>
      <c r="L123" s="31"/>
      <c r="M123" s="31"/>
      <c r="N123" s="31"/>
      <c r="O123" s="31"/>
      <c r="P123" s="31"/>
      <c r="Q123" s="19" t="s">
        <v>638</v>
      </c>
      <c r="R123" s="19"/>
      <c r="S123" s="19"/>
      <c r="T123" s="19"/>
      <c r="U123" s="19"/>
    </row>
    <row r="124" spans="1:33" x14ac:dyDescent="0.25">
      <c r="Q124" s="19"/>
      <c r="R124" s="19"/>
      <c r="S124" s="19"/>
      <c r="T124" s="19"/>
      <c r="U124" s="19"/>
    </row>
    <row r="125" spans="1:33" x14ac:dyDescent="0.25">
      <c r="B125" s="156">
        <f>SUM(B116:B124)</f>
        <v>0</v>
      </c>
      <c r="C125" s="156">
        <f t="shared" ref="C125:H125" si="2">SUM(C116:C124)</f>
        <v>0</v>
      </c>
      <c r="D125" s="156">
        <f t="shared" si="2"/>
        <v>0</v>
      </c>
      <c r="E125" s="156">
        <f t="shared" si="2"/>
        <v>0</v>
      </c>
      <c r="F125" s="156">
        <f t="shared" si="2"/>
        <v>0</v>
      </c>
      <c r="G125" s="156">
        <f t="shared" si="2"/>
        <v>0</v>
      </c>
      <c r="H125" s="156">
        <f t="shared" si="2"/>
        <v>0</v>
      </c>
      <c r="Q125" s="19" t="s">
        <v>639</v>
      </c>
      <c r="R125" s="19"/>
      <c r="S125" s="19"/>
      <c r="T125" s="19"/>
      <c r="U125" s="19"/>
    </row>
    <row r="126" spans="1:33" x14ac:dyDescent="0.25">
      <c r="Q126" s="19" t="s">
        <v>640</v>
      </c>
      <c r="R126" s="19"/>
      <c r="S126" s="19"/>
      <c r="T126" s="19"/>
      <c r="U126" s="19"/>
    </row>
    <row r="127" spans="1:33" ht="13" x14ac:dyDescent="0.3">
      <c r="A127" s="423" t="s">
        <v>641</v>
      </c>
      <c r="B127" s="423"/>
      <c r="C127" s="423"/>
      <c r="D127" s="423"/>
      <c r="E127" s="423"/>
      <c r="F127" s="423"/>
      <c r="G127" s="423"/>
      <c r="Q127" s="19"/>
      <c r="R127" s="19"/>
      <c r="S127" s="19"/>
      <c r="T127" s="19"/>
      <c r="U127" s="19"/>
    </row>
    <row r="128" spans="1:33" ht="13" x14ac:dyDescent="0.3">
      <c r="A128" s="342" t="s">
        <v>552</v>
      </c>
      <c r="B128" s="156" t="s">
        <v>529</v>
      </c>
      <c r="C128" t="s">
        <v>531</v>
      </c>
      <c r="D128" s="156" t="s">
        <v>532</v>
      </c>
      <c r="E128" t="s">
        <v>533</v>
      </c>
      <c r="F128" s="156" t="s">
        <v>534</v>
      </c>
      <c r="G128" s="259" t="s">
        <v>245</v>
      </c>
      <c r="H128" s="31" t="s">
        <v>563</v>
      </c>
      <c r="I128" s="188" t="s">
        <v>326</v>
      </c>
      <c r="Q128" s="19" t="s">
        <v>642</v>
      </c>
      <c r="R128" s="19"/>
      <c r="S128" s="19"/>
      <c r="T128" s="19"/>
      <c r="U128" s="19"/>
    </row>
    <row r="129" spans="1:21" ht="13" x14ac:dyDescent="0.3">
      <c r="A129" s="343">
        <v>1</v>
      </c>
      <c r="B129" s="156">
        <v>-50</v>
      </c>
      <c r="C129">
        <v>-50</v>
      </c>
      <c r="D129" s="156">
        <v>-50</v>
      </c>
      <c r="E129">
        <v>50</v>
      </c>
      <c r="F129" s="156">
        <v>50</v>
      </c>
      <c r="G129" s="259">
        <v>50</v>
      </c>
      <c r="H129" s="29">
        <v>-1</v>
      </c>
      <c r="I129" s="70"/>
      <c r="Q129" s="19" t="s">
        <v>643</v>
      </c>
      <c r="R129" s="19"/>
      <c r="S129" s="19"/>
      <c r="T129" s="19"/>
      <c r="U129" s="19"/>
    </row>
    <row r="130" spans="1:21" ht="13" x14ac:dyDescent="0.3">
      <c r="A130" s="344">
        <v>2</v>
      </c>
      <c r="B130" s="156">
        <v>-50</v>
      </c>
      <c r="C130">
        <v>-50</v>
      </c>
      <c r="D130" s="156">
        <v>50</v>
      </c>
      <c r="E130">
        <v>50</v>
      </c>
      <c r="F130" s="156">
        <v>-50</v>
      </c>
      <c r="G130" s="259">
        <v>-50</v>
      </c>
      <c r="H130" s="29">
        <v>1</v>
      </c>
      <c r="I130" s="70"/>
    </row>
    <row r="131" spans="1:21" ht="13" x14ac:dyDescent="0.3">
      <c r="A131" s="343">
        <v>3</v>
      </c>
      <c r="B131" s="156">
        <v>-50</v>
      </c>
      <c r="C131">
        <v>50</v>
      </c>
      <c r="D131" s="156">
        <v>-50</v>
      </c>
      <c r="E131">
        <v>-50</v>
      </c>
      <c r="F131" s="156">
        <v>50</v>
      </c>
      <c r="G131" s="259">
        <v>-50</v>
      </c>
      <c r="H131" s="29">
        <v>1</v>
      </c>
      <c r="I131" s="70"/>
    </row>
    <row r="132" spans="1:21" ht="13" x14ac:dyDescent="0.3">
      <c r="A132" s="343">
        <v>4</v>
      </c>
      <c r="B132" s="156">
        <v>-50</v>
      </c>
      <c r="C132">
        <v>50</v>
      </c>
      <c r="D132" s="156">
        <v>50</v>
      </c>
      <c r="E132">
        <v>-50</v>
      </c>
      <c r="F132" s="156">
        <v>-50</v>
      </c>
      <c r="G132" s="259">
        <v>50</v>
      </c>
      <c r="H132" s="29">
        <v>-1</v>
      </c>
      <c r="I132" s="70"/>
    </row>
    <row r="133" spans="1:21" ht="13" x14ac:dyDescent="0.3">
      <c r="A133" s="343">
        <v>5</v>
      </c>
      <c r="B133" s="156">
        <v>50</v>
      </c>
      <c r="C133">
        <v>-50</v>
      </c>
      <c r="D133" s="156">
        <v>-50</v>
      </c>
      <c r="E133">
        <v>-50</v>
      </c>
      <c r="F133" s="156">
        <v>-50</v>
      </c>
      <c r="G133" s="259">
        <v>50</v>
      </c>
      <c r="H133" s="29">
        <v>1</v>
      </c>
      <c r="I133" s="70"/>
    </row>
    <row r="134" spans="1:21" ht="13" x14ac:dyDescent="0.3">
      <c r="A134" s="343">
        <v>6</v>
      </c>
      <c r="B134" s="156">
        <v>50</v>
      </c>
      <c r="C134">
        <v>-50</v>
      </c>
      <c r="D134" s="156">
        <v>50</v>
      </c>
      <c r="E134">
        <v>-50</v>
      </c>
      <c r="F134" s="156">
        <v>50</v>
      </c>
      <c r="G134" s="259">
        <v>-50</v>
      </c>
      <c r="H134" s="29">
        <v>-1</v>
      </c>
      <c r="I134" s="70"/>
    </row>
    <row r="135" spans="1:21" ht="13" x14ac:dyDescent="0.3">
      <c r="A135" s="344">
        <v>7</v>
      </c>
      <c r="B135" s="156">
        <v>50</v>
      </c>
      <c r="C135">
        <v>50</v>
      </c>
      <c r="D135" s="156">
        <v>-50</v>
      </c>
      <c r="E135">
        <v>50</v>
      </c>
      <c r="F135" s="156">
        <v>-50</v>
      </c>
      <c r="G135" s="259">
        <v>-50</v>
      </c>
      <c r="H135" s="29">
        <v>-1</v>
      </c>
      <c r="I135" s="70"/>
    </row>
    <row r="136" spans="1:21" ht="13" x14ac:dyDescent="0.3">
      <c r="A136" s="345">
        <v>8</v>
      </c>
      <c r="B136" s="156">
        <v>50</v>
      </c>
      <c r="C136">
        <v>50</v>
      </c>
      <c r="D136" s="156">
        <v>50</v>
      </c>
      <c r="E136">
        <v>50</v>
      </c>
      <c r="F136" s="156">
        <v>50</v>
      </c>
      <c r="G136" s="259">
        <v>50</v>
      </c>
      <c r="H136" s="335">
        <v>1</v>
      </c>
      <c r="I136" s="70"/>
    </row>
    <row r="137" spans="1:21" x14ac:dyDescent="0.25">
      <c r="A137" t="s">
        <v>644</v>
      </c>
      <c r="B137" s="70"/>
      <c r="C137" s="70"/>
      <c r="D137" s="70"/>
      <c r="E137" s="70"/>
      <c r="F137" s="70"/>
      <c r="G137" s="70"/>
      <c r="H137" s="70"/>
      <c r="I137" s="70"/>
    </row>
    <row r="138" spans="1:21" x14ac:dyDescent="0.25">
      <c r="A138" t="s">
        <v>644</v>
      </c>
      <c r="B138" s="70"/>
      <c r="C138" s="70"/>
      <c r="D138" s="70"/>
      <c r="E138" s="70"/>
      <c r="F138" s="70"/>
      <c r="G138" s="70"/>
      <c r="H138" s="70"/>
      <c r="I138" s="70"/>
    </row>
    <row r="140" spans="1:21" x14ac:dyDescent="0.25">
      <c r="P140" t="s">
        <v>415</v>
      </c>
    </row>
    <row r="142" spans="1:21" ht="13" x14ac:dyDescent="0.3">
      <c r="P142" s="406" t="s">
        <v>417</v>
      </c>
      <c r="Q142" s="406"/>
    </row>
    <row r="143" spans="1:21" x14ac:dyDescent="0.25">
      <c r="P143" t="s">
        <v>419</v>
      </c>
      <c r="Q143">
        <v>1</v>
      </c>
    </row>
    <row r="144" spans="1:21" x14ac:dyDescent="0.25">
      <c r="P144" t="s">
        <v>421</v>
      </c>
      <c r="Q144">
        <v>1</v>
      </c>
    </row>
    <row r="145" spans="16:24" x14ac:dyDescent="0.25">
      <c r="P145" t="s">
        <v>423</v>
      </c>
      <c r="Q145">
        <v>65535</v>
      </c>
    </row>
    <row r="146" spans="16:24" x14ac:dyDescent="0.25">
      <c r="P146" t="s">
        <v>425</v>
      </c>
      <c r="Q146">
        <v>0</v>
      </c>
    </row>
    <row r="147" spans="16:24" x14ac:dyDescent="0.25">
      <c r="P147" s="119" t="s">
        <v>216</v>
      </c>
      <c r="Q147" s="119">
        <v>8</v>
      </c>
    </row>
    <row r="149" spans="16:24" x14ac:dyDescent="0.25">
      <c r="P149" t="s">
        <v>428</v>
      </c>
    </row>
    <row r="150" spans="16:24" ht="13" x14ac:dyDescent="0.3">
      <c r="P150" s="141"/>
      <c r="Q150" s="141" t="s">
        <v>219</v>
      </c>
      <c r="R150" s="141" t="s">
        <v>429</v>
      </c>
      <c r="S150" s="141" t="s">
        <v>430</v>
      </c>
      <c r="T150" s="141" t="s">
        <v>245</v>
      </c>
      <c r="U150" s="141" t="s">
        <v>431</v>
      </c>
    </row>
    <row r="151" spans="16:24" x14ac:dyDescent="0.25">
      <c r="P151" t="s">
        <v>383</v>
      </c>
      <c r="Q151">
        <v>7</v>
      </c>
      <c r="R151">
        <v>83506347861.651794</v>
      </c>
      <c r="S151">
        <v>11929478265.950256</v>
      </c>
      <c r="T151" t="e">
        <f>#N/A</f>
        <v>#N/A</v>
      </c>
      <c r="U151" t="e">
        <f>#N/A</f>
        <v>#N/A</v>
      </c>
    </row>
    <row r="152" spans="16:24" x14ac:dyDescent="0.25">
      <c r="P152" t="s">
        <v>434</v>
      </c>
      <c r="Q152">
        <v>0</v>
      </c>
      <c r="R152">
        <v>0</v>
      </c>
      <c r="S152">
        <v>65535</v>
      </c>
    </row>
    <row r="153" spans="16:24" x14ac:dyDescent="0.25">
      <c r="P153" s="119" t="s">
        <v>436</v>
      </c>
      <c r="Q153" s="119">
        <v>7</v>
      </c>
      <c r="R153" s="119">
        <v>83506347861.651794</v>
      </c>
      <c r="S153" s="119"/>
      <c r="T153" s="119"/>
      <c r="U153" s="119"/>
    </row>
    <row r="155" spans="16:24" ht="13" x14ac:dyDescent="0.3">
      <c r="P155" s="141"/>
      <c r="Q155" s="141" t="s">
        <v>438</v>
      </c>
      <c r="R155" s="141" t="s">
        <v>425</v>
      </c>
      <c r="S155" s="141" t="s">
        <v>439</v>
      </c>
      <c r="T155" s="141" t="s">
        <v>440</v>
      </c>
      <c r="U155" s="141" t="s">
        <v>441</v>
      </c>
      <c r="V155" s="141" t="s">
        <v>442</v>
      </c>
      <c r="W155" s="141" t="s">
        <v>566</v>
      </c>
      <c r="X155" s="141" t="s">
        <v>567</v>
      </c>
    </row>
    <row r="156" spans="16:24" x14ac:dyDescent="0.25">
      <c r="P156" t="s">
        <v>445</v>
      </c>
      <c r="Q156">
        <v>-140024.23374999998</v>
      </c>
      <c r="R156">
        <v>0</v>
      </c>
      <c r="S156">
        <v>65535</v>
      </c>
      <c r="T156" s="156" t="e">
        <f>#N/A</f>
        <v>#N/A</v>
      </c>
      <c r="U156">
        <v>-140024.23374999998</v>
      </c>
      <c r="V156">
        <v>-140024.23374999998</v>
      </c>
      <c r="W156">
        <v>-140024.23374999998</v>
      </c>
      <c r="X156">
        <v>-140024.23374999998</v>
      </c>
    </row>
    <row r="157" spans="16:24" x14ac:dyDescent="0.25">
      <c r="P157" t="s">
        <v>529</v>
      </c>
      <c r="Q157" s="326">
        <v>23390.551249999975</v>
      </c>
      <c r="R157">
        <v>0</v>
      </c>
      <c r="S157">
        <v>65535</v>
      </c>
      <c r="T157" s="156" t="e">
        <f>#N/A</f>
        <v>#N/A</v>
      </c>
      <c r="U157">
        <v>23390.551249999975</v>
      </c>
      <c r="V157">
        <v>23390.551249999975</v>
      </c>
      <c r="W157">
        <v>23390.551249999975</v>
      </c>
      <c r="X157">
        <v>23390.551249999975</v>
      </c>
    </row>
    <row r="158" spans="16:24" x14ac:dyDescent="0.25">
      <c r="P158" t="s">
        <v>532</v>
      </c>
      <c r="Q158" s="326">
        <v>-57349.866250000014</v>
      </c>
      <c r="R158">
        <v>0</v>
      </c>
      <c r="S158">
        <v>65535</v>
      </c>
      <c r="T158" s="156" t="e">
        <f>#N/A</f>
        <v>#N/A</v>
      </c>
      <c r="U158">
        <v>-57349.866250000014</v>
      </c>
      <c r="V158">
        <v>-57349.866250000014</v>
      </c>
      <c r="W158">
        <v>-57349.866250000014</v>
      </c>
      <c r="X158">
        <v>-57349.866250000014</v>
      </c>
    </row>
    <row r="159" spans="16:24" x14ac:dyDescent="0.25">
      <c r="P159" t="s">
        <v>534</v>
      </c>
      <c r="Q159" s="326">
        <v>-40701.681249999994</v>
      </c>
      <c r="R159">
        <v>0</v>
      </c>
      <c r="S159">
        <v>65535</v>
      </c>
      <c r="T159" s="156" t="e">
        <f>#N/A</f>
        <v>#N/A</v>
      </c>
      <c r="U159">
        <v>-40701.681249999994</v>
      </c>
      <c r="V159">
        <v>-40701.681249999994</v>
      </c>
      <c r="W159">
        <v>-40701.681249999994</v>
      </c>
      <c r="X159">
        <v>-40701.681249999994</v>
      </c>
    </row>
    <row r="160" spans="16:24" x14ac:dyDescent="0.25">
      <c r="P160" t="s">
        <v>544</v>
      </c>
      <c r="Q160" s="326">
        <v>57350.298750000024</v>
      </c>
      <c r="R160">
        <v>0</v>
      </c>
      <c r="S160">
        <v>65535</v>
      </c>
      <c r="T160" s="156" t="e">
        <f>#N/A</f>
        <v>#N/A</v>
      </c>
      <c r="U160">
        <v>57350.298750000024</v>
      </c>
      <c r="V160">
        <v>57350.298750000024</v>
      </c>
      <c r="W160">
        <v>57350.298750000024</v>
      </c>
      <c r="X160">
        <v>57350.298750000024</v>
      </c>
    </row>
    <row r="161" spans="2:24" x14ac:dyDescent="0.25">
      <c r="P161" t="s">
        <v>633</v>
      </c>
      <c r="Q161" s="326">
        <v>-40699.936249999999</v>
      </c>
      <c r="R161">
        <v>0</v>
      </c>
      <c r="S161">
        <v>65535</v>
      </c>
      <c r="T161" s="156" t="e">
        <f>#N/A</f>
        <v>#N/A</v>
      </c>
      <c r="U161">
        <v>-40699.936249999999</v>
      </c>
      <c r="V161">
        <v>-40699.936249999999</v>
      </c>
      <c r="W161">
        <v>-40699.936249999999</v>
      </c>
      <c r="X161">
        <v>-40699.936249999999</v>
      </c>
    </row>
    <row r="162" spans="2:24" x14ac:dyDescent="0.25">
      <c r="P162" t="s">
        <v>634</v>
      </c>
      <c r="Q162">
        <v>1.381250000001907</v>
      </c>
      <c r="R162">
        <v>0</v>
      </c>
      <c r="S162">
        <v>65535</v>
      </c>
      <c r="T162" s="156" t="e">
        <f>#N/A</f>
        <v>#N/A</v>
      </c>
      <c r="U162">
        <v>1.381250000001907</v>
      </c>
      <c r="V162">
        <v>1.381250000001907</v>
      </c>
      <c r="W162">
        <v>1.381250000001907</v>
      </c>
      <c r="X162">
        <v>1.381250000001907</v>
      </c>
    </row>
    <row r="163" spans="2:24" x14ac:dyDescent="0.25">
      <c r="P163" s="119" t="s">
        <v>635</v>
      </c>
      <c r="Q163" s="119">
        <v>0.28624999998029427</v>
      </c>
      <c r="R163" s="119">
        <v>0</v>
      </c>
      <c r="S163" s="119">
        <v>65535</v>
      </c>
      <c r="T163" s="243" t="e">
        <f>#N/A</f>
        <v>#N/A</v>
      </c>
      <c r="U163" s="119">
        <v>0.28624999998029427</v>
      </c>
      <c r="V163" s="119">
        <v>0.28624999998029427</v>
      </c>
      <c r="W163" s="119">
        <v>0.28624999998029427</v>
      </c>
      <c r="X163" s="119">
        <v>0.28624999998029427</v>
      </c>
    </row>
    <row r="170" spans="2:24" ht="13" x14ac:dyDescent="0.3">
      <c r="B170" s="424" t="s">
        <v>645</v>
      </c>
      <c r="C170" s="424"/>
      <c r="D170" s="424"/>
      <c r="E170" s="424"/>
      <c r="F170" s="424"/>
      <c r="G170" s="424"/>
      <c r="H170" s="424"/>
      <c r="I170" s="424"/>
    </row>
    <row r="176" spans="2:24" x14ac:dyDescent="0.25">
      <c r="Q176" s="115">
        <v>-81928.679999999993</v>
      </c>
      <c r="R176" t="s">
        <v>646</v>
      </c>
    </row>
    <row r="177" spans="1:18" x14ac:dyDescent="0.25">
      <c r="Q177">
        <v>-81928.759999999995</v>
      </c>
    </row>
    <row r="178" spans="1:18" x14ac:dyDescent="0.25">
      <c r="Q178">
        <v>-106481.5</v>
      </c>
    </row>
    <row r="179" spans="1:18" x14ac:dyDescent="0.25">
      <c r="Q179">
        <v>-106481.8</v>
      </c>
    </row>
    <row r="180" spans="1:18" x14ac:dyDescent="0.25">
      <c r="Q180">
        <v>-112124.6</v>
      </c>
    </row>
    <row r="181" spans="1:18" x14ac:dyDescent="0.25">
      <c r="Q181">
        <v>-112125.8</v>
      </c>
    </row>
    <row r="182" spans="1:18" x14ac:dyDescent="0.25">
      <c r="Q182">
        <v>-160706.79999999999</v>
      </c>
    </row>
    <row r="183" spans="1:18" x14ac:dyDescent="0.25">
      <c r="Q183" s="115">
        <v>-160710.29999999999</v>
      </c>
      <c r="R183" t="s">
        <v>647</v>
      </c>
    </row>
    <row r="186" spans="1:18" x14ac:dyDescent="0.25">
      <c r="P186" t="s">
        <v>415</v>
      </c>
    </row>
    <row r="187" spans="1:18" x14ac:dyDescent="0.25">
      <c r="A187" s="32" t="s">
        <v>552</v>
      </c>
      <c r="B187" t="s">
        <v>529</v>
      </c>
      <c r="C187" s="156" t="s">
        <v>531</v>
      </c>
      <c r="D187" s="156" t="s">
        <v>532</v>
      </c>
      <c r="E187" t="s">
        <v>533</v>
      </c>
      <c r="F187" t="s">
        <v>534</v>
      </c>
      <c r="G187" s="156" t="s">
        <v>245</v>
      </c>
      <c r="H187" t="s">
        <v>648</v>
      </c>
      <c r="I187" t="s">
        <v>326</v>
      </c>
    </row>
    <row r="188" spans="1:18" ht="13" x14ac:dyDescent="0.3">
      <c r="A188">
        <v>1</v>
      </c>
      <c r="B188">
        <v>-1</v>
      </c>
      <c r="C188" s="156">
        <v>-1</v>
      </c>
      <c r="D188" s="156">
        <v>-1</v>
      </c>
      <c r="E188">
        <v>1</v>
      </c>
      <c r="F188">
        <v>1</v>
      </c>
      <c r="G188" s="156">
        <v>1</v>
      </c>
      <c r="H188" s="29">
        <v>-1</v>
      </c>
      <c r="I188">
        <v>-106481.5</v>
      </c>
      <c r="P188" s="406" t="s">
        <v>417</v>
      </c>
      <c r="Q188" s="406"/>
    </row>
    <row r="189" spans="1:18" x14ac:dyDescent="0.25">
      <c r="A189">
        <v>2</v>
      </c>
      <c r="B189">
        <v>-1</v>
      </c>
      <c r="C189" s="156">
        <v>-1</v>
      </c>
      <c r="D189" s="156">
        <v>1</v>
      </c>
      <c r="E189">
        <v>1</v>
      </c>
      <c r="F189">
        <v>-1</v>
      </c>
      <c r="G189" s="156">
        <v>-1</v>
      </c>
      <c r="H189" s="29">
        <v>1</v>
      </c>
      <c r="I189">
        <v>-112125.8</v>
      </c>
      <c r="P189" t="s">
        <v>419</v>
      </c>
      <c r="Q189">
        <v>0.99999999960612063</v>
      </c>
    </row>
    <row r="190" spans="1:18" x14ac:dyDescent="0.25">
      <c r="A190">
        <v>3</v>
      </c>
      <c r="B190">
        <v>-1</v>
      </c>
      <c r="C190" s="156">
        <v>1</v>
      </c>
      <c r="D190" s="156">
        <v>-1</v>
      </c>
      <c r="E190">
        <v>-1</v>
      </c>
      <c r="F190">
        <v>1</v>
      </c>
      <c r="G190" s="156">
        <v>-1</v>
      </c>
      <c r="H190" s="29">
        <v>1</v>
      </c>
      <c r="I190">
        <v>-160710.29999999999</v>
      </c>
      <c r="P190" t="s">
        <v>421</v>
      </c>
      <c r="Q190">
        <v>0.99999999921224125</v>
      </c>
    </row>
    <row r="191" spans="1:18" x14ac:dyDescent="0.25">
      <c r="A191">
        <v>4</v>
      </c>
      <c r="B191">
        <v>-1</v>
      </c>
      <c r="C191" s="156">
        <v>1</v>
      </c>
      <c r="D191" s="156">
        <v>1</v>
      </c>
      <c r="E191">
        <v>-1</v>
      </c>
      <c r="F191">
        <v>-1</v>
      </c>
      <c r="G191" s="156">
        <v>1</v>
      </c>
      <c r="H191" s="29">
        <v>-1</v>
      </c>
      <c r="I191">
        <v>-81928.679999999993</v>
      </c>
      <c r="P191" t="s">
        <v>423</v>
      </c>
      <c r="Q191">
        <v>0.99999999645508542</v>
      </c>
    </row>
    <row r="192" spans="1:18" x14ac:dyDescent="0.25">
      <c r="A192">
        <v>5</v>
      </c>
      <c r="B192">
        <v>1</v>
      </c>
      <c r="C192" s="156">
        <v>-1</v>
      </c>
      <c r="D192" s="156">
        <v>-1</v>
      </c>
      <c r="E192">
        <v>-1</v>
      </c>
      <c r="F192">
        <v>-1</v>
      </c>
      <c r="G192" s="156">
        <v>1</v>
      </c>
      <c r="H192" s="29">
        <v>1</v>
      </c>
      <c r="I192">
        <v>-106481.8</v>
      </c>
      <c r="P192" t="s">
        <v>425</v>
      </c>
      <c r="Q192">
        <v>1.9533880822762451</v>
      </c>
    </row>
    <row r="193" spans="1:24" x14ac:dyDescent="0.25">
      <c r="A193">
        <v>6</v>
      </c>
      <c r="B193">
        <v>1</v>
      </c>
      <c r="C193" s="156">
        <v>-1</v>
      </c>
      <c r="D193" s="156">
        <v>1</v>
      </c>
      <c r="E193">
        <v>-1</v>
      </c>
      <c r="F193">
        <v>1</v>
      </c>
      <c r="G193" s="156">
        <v>-1</v>
      </c>
      <c r="H193" s="29">
        <v>-1</v>
      </c>
      <c r="I193">
        <v>-112124.6</v>
      </c>
      <c r="P193" s="119" t="s">
        <v>216</v>
      </c>
      <c r="Q193" s="119">
        <v>10</v>
      </c>
    </row>
    <row r="194" spans="1:24" x14ac:dyDescent="0.25">
      <c r="A194">
        <v>7</v>
      </c>
      <c r="B194">
        <v>1</v>
      </c>
      <c r="C194" s="156">
        <v>1</v>
      </c>
      <c r="D194" s="156">
        <v>-1</v>
      </c>
      <c r="E194">
        <v>1</v>
      </c>
      <c r="F194">
        <v>-1</v>
      </c>
      <c r="G194" s="156">
        <v>-1</v>
      </c>
      <c r="H194" s="29">
        <v>-1</v>
      </c>
      <c r="I194">
        <v>-160706.79999999999</v>
      </c>
    </row>
    <row r="195" spans="1:24" x14ac:dyDescent="0.25">
      <c r="A195">
        <v>8</v>
      </c>
      <c r="B195">
        <v>1</v>
      </c>
      <c r="C195" s="156">
        <v>1</v>
      </c>
      <c r="D195" s="156">
        <v>1</v>
      </c>
      <c r="E195">
        <v>1</v>
      </c>
      <c r="F195">
        <v>1</v>
      </c>
      <c r="G195" s="156">
        <v>1</v>
      </c>
      <c r="H195" s="29">
        <v>1</v>
      </c>
      <c r="I195">
        <v>-81928.759999999995</v>
      </c>
      <c r="P195" t="s">
        <v>428</v>
      </c>
    </row>
    <row r="196" spans="1:24" ht="13" x14ac:dyDescent="0.3">
      <c r="A196" t="s">
        <v>649</v>
      </c>
      <c r="B196">
        <v>-1</v>
      </c>
      <c r="C196" s="156">
        <v>1</v>
      </c>
      <c r="D196" s="156">
        <v>-1</v>
      </c>
      <c r="E196">
        <v>-1</v>
      </c>
      <c r="F196">
        <v>1</v>
      </c>
      <c r="G196" s="156">
        <v>-1</v>
      </c>
      <c r="H196" s="346">
        <v>1</v>
      </c>
      <c r="I196">
        <v>-160706.4</v>
      </c>
      <c r="P196" s="141"/>
      <c r="Q196" s="141" t="s">
        <v>219</v>
      </c>
      <c r="R196" s="141" t="s">
        <v>429</v>
      </c>
      <c r="S196" s="141" t="s">
        <v>430</v>
      </c>
      <c r="T196" s="141" t="s">
        <v>245</v>
      </c>
      <c r="U196" s="141" t="s">
        <v>431</v>
      </c>
    </row>
    <row r="197" spans="1:24" x14ac:dyDescent="0.25">
      <c r="A197" t="s">
        <v>650</v>
      </c>
      <c r="B197">
        <v>-1</v>
      </c>
      <c r="C197" s="156">
        <v>1</v>
      </c>
      <c r="D197" s="156">
        <v>1</v>
      </c>
      <c r="E197">
        <v>-1</v>
      </c>
      <c r="F197">
        <v>-1</v>
      </c>
      <c r="G197" s="156">
        <v>1</v>
      </c>
      <c r="H197" s="346">
        <v>-1</v>
      </c>
      <c r="I197">
        <v>-81928.45</v>
      </c>
      <c r="P197" t="s">
        <v>383</v>
      </c>
      <c r="Q197">
        <v>7</v>
      </c>
      <c r="R197">
        <v>9687547365.9162369</v>
      </c>
      <c r="S197">
        <v>1383935337.9880338</v>
      </c>
      <c r="T197">
        <v>362692630.62607986</v>
      </c>
      <c r="U197">
        <v>2.75715554661463E-9</v>
      </c>
    </row>
    <row r="198" spans="1:24" x14ac:dyDescent="0.25">
      <c r="P198" t="s">
        <v>434</v>
      </c>
      <c r="Q198">
        <v>2</v>
      </c>
      <c r="R198">
        <v>7.6314499999577334</v>
      </c>
      <c r="S198">
        <v>3.8157249999788667</v>
      </c>
    </row>
    <row r="199" spans="1:24" x14ac:dyDescent="0.25">
      <c r="P199" s="119" t="s">
        <v>436</v>
      </c>
      <c r="Q199" s="119">
        <v>9</v>
      </c>
      <c r="R199" s="119">
        <v>9687547373.5476875</v>
      </c>
      <c r="S199" s="119"/>
      <c r="T199" s="119"/>
      <c r="U199" s="119"/>
    </row>
    <row r="201" spans="1:24" ht="13" x14ac:dyDescent="0.3">
      <c r="P201" s="141"/>
      <c r="Q201" s="141" t="s">
        <v>438</v>
      </c>
      <c r="R201" s="141" t="s">
        <v>425</v>
      </c>
      <c r="S201" s="141" t="s">
        <v>439</v>
      </c>
      <c r="T201" s="141" t="s">
        <v>440</v>
      </c>
      <c r="U201" s="141" t="s">
        <v>441</v>
      </c>
      <c r="V201" s="141" t="s">
        <v>442</v>
      </c>
      <c r="W201" s="141" t="s">
        <v>566</v>
      </c>
      <c r="X201" s="141" t="s">
        <v>567</v>
      </c>
    </row>
    <row r="202" spans="1:24" x14ac:dyDescent="0.25">
      <c r="P202" t="s">
        <v>445</v>
      </c>
      <c r="Q202">
        <v>-115310.77187499998</v>
      </c>
      <c r="R202">
        <v>0.64602238496254016</v>
      </c>
      <c r="S202">
        <v>-178493.46177328873</v>
      </c>
      <c r="T202">
        <v>3.1387402375293622E-11</v>
      </c>
      <c r="U202">
        <v>-115313.55148497799</v>
      </c>
      <c r="V202">
        <v>-115307.99226502197</v>
      </c>
      <c r="W202">
        <v>-115313.55148497799</v>
      </c>
      <c r="X202">
        <v>-115307.99226502197</v>
      </c>
    </row>
    <row r="203" spans="1:24" x14ac:dyDescent="0.25">
      <c r="J203" s="32"/>
      <c r="P203" t="s">
        <v>529</v>
      </c>
      <c r="Q203">
        <v>0.28187499999662591</v>
      </c>
      <c r="R203">
        <v>0.64602238496254039</v>
      </c>
      <c r="S203">
        <v>0.43632388994225091</v>
      </c>
      <c r="T203" s="319">
        <v>0.70518511647140603</v>
      </c>
      <c r="U203">
        <v>-2.4977349780093236</v>
      </c>
      <c r="V203">
        <v>3.061484978002575</v>
      </c>
      <c r="W203">
        <v>-2.4977349780093236</v>
      </c>
      <c r="X203">
        <v>3.061484978002575</v>
      </c>
    </row>
    <row r="204" spans="1:24" x14ac:dyDescent="0.25">
      <c r="P204" s="156" t="s">
        <v>531</v>
      </c>
      <c r="Q204" s="156">
        <v>-6007.3468749999947</v>
      </c>
      <c r="R204" s="156">
        <v>0.64602238496254005</v>
      </c>
      <c r="S204" s="156">
        <v>-9298.9763432862073</v>
      </c>
      <c r="T204" s="337">
        <v>1.1564575790750223E-8</v>
      </c>
      <c r="U204">
        <v>-6010.1264849780009</v>
      </c>
      <c r="V204">
        <v>-6004.5672650219885</v>
      </c>
      <c r="W204">
        <v>-6010.1264849780009</v>
      </c>
      <c r="X204">
        <v>-6004.5672650219885</v>
      </c>
    </row>
    <row r="205" spans="1:24" x14ac:dyDescent="0.25">
      <c r="J205" s="32"/>
      <c r="P205" s="156" t="s">
        <v>532</v>
      </c>
      <c r="Q205" s="156">
        <v>18283.840625000004</v>
      </c>
      <c r="R205" s="156">
        <v>0.64602238496254027</v>
      </c>
      <c r="S205" s="156">
        <v>28302.178145204976</v>
      </c>
      <c r="T205" s="337">
        <v>1.2484187382610663E-9</v>
      </c>
      <c r="U205">
        <v>18281.061015021998</v>
      </c>
      <c r="V205">
        <v>18286.620234978011</v>
      </c>
      <c r="W205">
        <v>18281.061015021998</v>
      </c>
      <c r="X205">
        <v>18286.620234978011</v>
      </c>
    </row>
    <row r="206" spans="1:24" x14ac:dyDescent="0.25">
      <c r="P206" t="s">
        <v>533</v>
      </c>
      <c r="Q206">
        <v>5.6874999999156822E-2</v>
      </c>
      <c r="R206">
        <v>0.64602238496254027</v>
      </c>
      <c r="S206">
        <v>8.8038744977009933E-2</v>
      </c>
      <c r="T206" s="319">
        <v>0.93786748450157364</v>
      </c>
      <c r="U206">
        <v>-2.722734978006792</v>
      </c>
      <c r="V206">
        <v>2.8364849780051058</v>
      </c>
      <c r="W206">
        <v>-2.722734978006792</v>
      </c>
      <c r="X206">
        <v>2.8364849780051058</v>
      </c>
    </row>
    <row r="207" spans="1:24" x14ac:dyDescent="0.25">
      <c r="J207" s="32"/>
      <c r="P207" t="s">
        <v>534</v>
      </c>
      <c r="Q207">
        <v>-3.0625000002413621E-2</v>
      </c>
      <c r="R207">
        <v>0.64602238496254027</v>
      </c>
      <c r="S207">
        <v>-4.740547806898273E-2</v>
      </c>
      <c r="T207" s="319">
        <v>0.9664980817529274</v>
      </c>
      <c r="U207">
        <v>-2.8102349780083626</v>
      </c>
      <c r="V207">
        <v>2.7489849780035351</v>
      </c>
      <c r="W207">
        <v>-2.8102349780083626</v>
      </c>
      <c r="X207">
        <v>2.7489849780035351</v>
      </c>
    </row>
    <row r="208" spans="1:24" x14ac:dyDescent="0.25">
      <c r="P208" s="156" t="s">
        <v>245</v>
      </c>
      <c r="Q208" s="156">
        <v>21105.615624999999</v>
      </c>
      <c r="R208" s="156">
        <v>0.64602238496254039</v>
      </c>
      <c r="S208" s="156">
        <v>32670.099544962064</v>
      </c>
      <c r="T208" s="337">
        <v>9.3691260919363918E-10</v>
      </c>
      <c r="U208">
        <v>21102.836015021992</v>
      </c>
      <c r="V208">
        <v>21108.395234978005</v>
      </c>
      <c r="W208">
        <v>21102.836015021992</v>
      </c>
      <c r="X208">
        <v>21108.395234978005</v>
      </c>
    </row>
    <row r="209" spans="1:24" x14ac:dyDescent="0.25">
      <c r="J209" s="32"/>
      <c r="P209" s="119" t="s">
        <v>648</v>
      </c>
      <c r="Q209" s="119">
        <v>-0.4056249999993215</v>
      </c>
      <c r="R209" s="119">
        <v>0.64602238496254027</v>
      </c>
      <c r="S209" s="119">
        <v>-0.62788071967946091</v>
      </c>
      <c r="T209" s="320">
        <v>0.59421701508385527</v>
      </c>
      <c r="U209" s="119">
        <v>-3.1852349780052704</v>
      </c>
      <c r="V209" s="119">
        <v>2.3739849780066273</v>
      </c>
      <c r="W209" s="119">
        <v>-3.1852349780052704</v>
      </c>
      <c r="X209" s="119">
        <v>2.3739849780066273</v>
      </c>
    </row>
    <row r="214" spans="1:24" ht="13" x14ac:dyDescent="0.3">
      <c r="A214" s="386" t="s">
        <v>632</v>
      </c>
      <c r="B214" s="386"/>
      <c r="C214" s="386"/>
      <c r="D214" s="386"/>
      <c r="E214" s="386"/>
      <c r="F214" s="386"/>
      <c r="G214" s="386"/>
      <c r="H214" s="386"/>
      <c r="I214" s="386"/>
    </row>
    <row r="215" spans="1:24" ht="13" x14ac:dyDescent="0.3">
      <c r="A215" s="332"/>
      <c r="B215" s="422" t="s">
        <v>551</v>
      </c>
      <c r="C215" s="422"/>
      <c r="D215" s="422"/>
      <c r="E215" s="422"/>
      <c r="F215" s="422"/>
      <c r="G215" s="422"/>
      <c r="H215" s="422"/>
    </row>
    <row r="216" spans="1:24" ht="13" x14ac:dyDescent="0.3">
      <c r="A216" s="77" t="s">
        <v>552</v>
      </c>
      <c r="B216" s="67" t="s">
        <v>531</v>
      </c>
      <c r="C216" s="67" t="s">
        <v>532</v>
      </c>
      <c r="D216" s="67" t="s">
        <v>245</v>
      </c>
      <c r="E216" s="67" t="s">
        <v>545</v>
      </c>
      <c r="F216" s="67" t="s">
        <v>651</v>
      </c>
      <c r="G216" s="67" t="s">
        <v>538</v>
      </c>
      <c r="H216" s="67" t="s">
        <v>652</v>
      </c>
      <c r="I216" s="339" t="s">
        <v>326</v>
      </c>
      <c r="P216" t="s">
        <v>415</v>
      </c>
    </row>
    <row r="217" spans="1:24" ht="13" x14ac:dyDescent="0.3">
      <c r="A217" s="67">
        <v>1</v>
      </c>
      <c r="B217" s="70">
        <v>-1</v>
      </c>
      <c r="C217" s="70">
        <v>-1</v>
      </c>
      <c r="D217" s="70">
        <v>-1</v>
      </c>
      <c r="E217" s="70">
        <v>1</v>
      </c>
      <c r="F217" s="70">
        <v>1</v>
      </c>
      <c r="G217" s="70">
        <v>1</v>
      </c>
      <c r="H217" s="340">
        <v>-1</v>
      </c>
      <c r="I217" s="32">
        <v>-106480.1</v>
      </c>
    </row>
    <row r="218" spans="1:24" ht="13" x14ac:dyDescent="0.3">
      <c r="A218" s="67">
        <v>2</v>
      </c>
      <c r="B218" s="70">
        <v>-1</v>
      </c>
      <c r="C218" s="70">
        <v>-1</v>
      </c>
      <c r="D218" s="70">
        <v>1</v>
      </c>
      <c r="E218" s="70">
        <v>1</v>
      </c>
      <c r="F218" s="70">
        <v>-1</v>
      </c>
      <c r="G218" s="70">
        <v>-1</v>
      </c>
      <c r="H218" s="340">
        <v>1</v>
      </c>
      <c r="I218">
        <v>-106481.5</v>
      </c>
      <c r="P218" s="406" t="s">
        <v>417</v>
      </c>
      <c r="Q218" s="406"/>
    </row>
    <row r="219" spans="1:24" ht="13" x14ac:dyDescent="0.3">
      <c r="A219" s="67">
        <v>3</v>
      </c>
      <c r="B219" s="70">
        <v>-1</v>
      </c>
      <c r="C219" s="70">
        <v>1</v>
      </c>
      <c r="D219" s="70">
        <v>-1</v>
      </c>
      <c r="E219" s="70">
        <v>-1</v>
      </c>
      <c r="F219" s="70">
        <v>1</v>
      </c>
      <c r="G219" s="70">
        <v>-1</v>
      </c>
      <c r="H219" s="340">
        <v>1</v>
      </c>
      <c r="I219">
        <v>-112125.8</v>
      </c>
      <c r="P219" t="s">
        <v>419</v>
      </c>
      <c r="Q219">
        <v>0.89722949714732281</v>
      </c>
    </row>
    <row r="220" spans="1:24" ht="13" x14ac:dyDescent="0.3">
      <c r="A220" s="67">
        <v>4</v>
      </c>
      <c r="B220" s="341">
        <v>-1</v>
      </c>
      <c r="C220" s="341">
        <v>1</v>
      </c>
      <c r="D220" s="341">
        <v>1</v>
      </c>
      <c r="E220" s="341">
        <v>-1</v>
      </c>
      <c r="F220" s="341">
        <v>-1</v>
      </c>
      <c r="G220" s="341">
        <v>1</v>
      </c>
      <c r="H220" s="347">
        <v>-1</v>
      </c>
      <c r="I220" s="348">
        <v>-81926.960000000006</v>
      </c>
      <c r="P220" t="s">
        <v>421</v>
      </c>
      <c r="Q220">
        <v>0.80502077055123766</v>
      </c>
    </row>
    <row r="221" spans="1:24" ht="13" x14ac:dyDescent="0.3">
      <c r="A221" s="67">
        <v>5</v>
      </c>
      <c r="B221" s="341">
        <v>1</v>
      </c>
      <c r="C221" s="341">
        <v>-1</v>
      </c>
      <c r="D221" s="341">
        <v>-1</v>
      </c>
      <c r="E221" s="341">
        <v>-1</v>
      </c>
      <c r="F221" s="341">
        <v>-1</v>
      </c>
      <c r="G221" s="341">
        <v>1</v>
      </c>
      <c r="H221" s="347">
        <v>1</v>
      </c>
      <c r="I221" s="156">
        <v>-160710.29999999999</v>
      </c>
      <c r="P221" t="s">
        <v>423</v>
      </c>
      <c r="Q221">
        <v>0.12259346748056954</v>
      </c>
    </row>
    <row r="222" spans="1:24" ht="13" x14ac:dyDescent="0.3">
      <c r="A222" s="67">
        <v>6</v>
      </c>
      <c r="B222" s="70">
        <v>1</v>
      </c>
      <c r="C222" s="70">
        <v>-1</v>
      </c>
      <c r="D222" s="70">
        <v>1</v>
      </c>
      <c r="E222" s="70">
        <v>-1</v>
      </c>
      <c r="F222" s="70">
        <v>1</v>
      </c>
      <c r="G222" s="70">
        <v>-1</v>
      </c>
      <c r="H222" s="340">
        <v>-1</v>
      </c>
      <c r="I222" s="32">
        <v>-112123</v>
      </c>
      <c r="P222" t="s">
        <v>425</v>
      </c>
      <c r="Q222">
        <v>27114.300020524675</v>
      </c>
    </row>
    <row r="223" spans="1:24" ht="13" x14ac:dyDescent="0.3">
      <c r="A223" s="67">
        <v>7</v>
      </c>
      <c r="B223" s="70">
        <v>1</v>
      </c>
      <c r="C223" s="70">
        <v>1</v>
      </c>
      <c r="D223" s="70">
        <v>-1</v>
      </c>
      <c r="E223" s="70">
        <v>1</v>
      </c>
      <c r="F223" s="70">
        <v>-1</v>
      </c>
      <c r="G223" s="70">
        <v>-1</v>
      </c>
      <c r="H223" s="340">
        <v>-1</v>
      </c>
      <c r="I223" s="32">
        <v>-160705.1</v>
      </c>
      <c r="P223" s="119" t="s">
        <v>216</v>
      </c>
      <c r="Q223" s="119">
        <v>10</v>
      </c>
    </row>
    <row r="224" spans="1:24" ht="13" x14ac:dyDescent="0.3">
      <c r="A224" s="67">
        <v>8</v>
      </c>
      <c r="B224" s="70">
        <v>1</v>
      </c>
      <c r="C224" s="70">
        <v>1</v>
      </c>
      <c r="D224" s="70">
        <v>1</v>
      </c>
      <c r="E224" s="70">
        <v>1</v>
      </c>
      <c r="F224" s="70">
        <v>1</v>
      </c>
      <c r="G224" s="70">
        <v>1</v>
      </c>
      <c r="H224" s="340">
        <v>1</v>
      </c>
      <c r="I224">
        <v>-81928.759999999995</v>
      </c>
    </row>
    <row r="225" spans="1:24" x14ac:dyDescent="0.25">
      <c r="A225" t="s">
        <v>653</v>
      </c>
      <c r="B225" s="341">
        <v>-1</v>
      </c>
      <c r="C225" s="341">
        <v>1</v>
      </c>
      <c r="D225" s="341">
        <v>1</v>
      </c>
      <c r="E225" s="341">
        <v>-1</v>
      </c>
      <c r="F225" s="341">
        <v>-1</v>
      </c>
      <c r="G225" s="341">
        <v>1</v>
      </c>
      <c r="H225" s="347">
        <v>-1</v>
      </c>
      <c r="I225">
        <v>-81924.850000000006</v>
      </c>
      <c r="P225" t="s">
        <v>428</v>
      </c>
    </row>
    <row r="226" spans="1:24" ht="13" x14ac:dyDescent="0.3">
      <c r="A226" t="s">
        <v>654</v>
      </c>
      <c r="B226" s="341">
        <v>1</v>
      </c>
      <c r="C226" s="341">
        <v>-1</v>
      </c>
      <c r="D226" s="341">
        <v>-1</v>
      </c>
      <c r="E226" s="341">
        <v>-1</v>
      </c>
      <c r="F226" s="341">
        <v>-1</v>
      </c>
      <c r="G226" s="341">
        <v>1</v>
      </c>
      <c r="H226" s="347">
        <v>1</v>
      </c>
      <c r="I226">
        <v>-106481.7</v>
      </c>
      <c r="P226" s="141"/>
      <c r="Q226" s="141" t="s">
        <v>219</v>
      </c>
      <c r="R226" s="141" t="s">
        <v>429</v>
      </c>
      <c r="S226" s="141" t="s">
        <v>430</v>
      </c>
      <c r="T226" s="141" t="s">
        <v>245</v>
      </c>
      <c r="U226" s="141" t="s">
        <v>431</v>
      </c>
    </row>
    <row r="227" spans="1:24" x14ac:dyDescent="0.25">
      <c r="P227" t="s">
        <v>383</v>
      </c>
      <c r="Q227">
        <v>7</v>
      </c>
      <c r="R227">
        <v>6070794419.3531609</v>
      </c>
      <c r="S227">
        <v>867256345.62188017</v>
      </c>
      <c r="T227">
        <v>1.1796432629951126</v>
      </c>
      <c r="U227">
        <v>0.53191491775329736</v>
      </c>
    </row>
    <row r="228" spans="1:24" x14ac:dyDescent="0.25">
      <c r="P228" t="s">
        <v>434</v>
      </c>
      <c r="Q228">
        <v>2</v>
      </c>
      <c r="R228">
        <v>1470370531.2060487</v>
      </c>
      <c r="S228">
        <v>735185265.60302436</v>
      </c>
    </row>
    <row r="229" spans="1:24" x14ac:dyDescent="0.25">
      <c r="B229" s="396" t="s">
        <v>573</v>
      </c>
      <c r="C229" s="396"/>
      <c r="D229" s="396"/>
      <c r="E229" s="396"/>
      <c r="F229" s="396"/>
      <c r="G229" s="396"/>
      <c r="H229" s="396"/>
      <c r="I229" s="396"/>
      <c r="J229" s="396"/>
      <c r="P229" s="119" t="s">
        <v>436</v>
      </c>
      <c r="Q229" s="119">
        <v>9</v>
      </c>
      <c r="R229" s="119">
        <v>7541164950.5592098</v>
      </c>
      <c r="S229" s="119"/>
      <c r="T229" s="119"/>
      <c r="U229" s="119"/>
    </row>
    <row r="230" spans="1:24" x14ac:dyDescent="0.25">
      <c r="B230" s="396"/>
      <c r="C230" s="396"/>
      <c r="D230" s="396"/>
      <c r="E230" s="396"/>
      <c r="F230" s="396"/>
      <c r="G230" s="396"/>
      <c r="H230" s="396"/>
      <c r="I230" s="396"/>
      <c r="J230" s="396"/>
    </row>
    <row r="231" spans="1:24" ht="13" x14ac:dyDescent="0.3">
      <c r="B231" s="396"/>
      <c r="C231" s="396"/>
      <c r="D231" s="396"/>
      <c r="E231" s="396"/>
      <c r="F231" s="396"/>
      <c r="G231" s="396"/>
      <c r="H231" s="396"/>
      <c r="I231" s="396"/>
      <c r="J231" s="396"/>
      <c r="P231" s="141"/>
      <c r="Q231" s="141" t="s">
        <v>438</v>
      </c>
      <c r="R231" s="141" t="s">
        <v>425</v>
      </c>
      <c r="S231" s="141" t="s">
        <v>439</v>
      </c>
      <c r="T231" s="141" t="s">
        <v>440</v>
      </c>
      <c r="U231" s="141" t="s">
        <v>441</v>
      </c>
      <c r="V231" s="141" t="s">
        <v>442</v>
      </c>
      <c r="W231" s="141" t="s">
        <v>566</v>
      </c>
      <c r="X231" s="141" t="s">
        <v>567</v>
      </c>
    </row>
    <row r="232" spans="1:24" x14ac:dyDescent="0.25">
      <c r="B232" s="396"/>
      <c r="C232" s="396"/>
      <c r="D232" s="396"/>
      <c r="E232" s="396"/>
      <c r="F232" s="396"/>
      <c r="G232" s="396"/>
      <c r="H232" s="396"/>
      <c r="I232" s="396"/>
      <c r="J232" s="396"/>
      <c r="P232" t="s">
        <v>445</v>
      </c>
      <c r="Q232">
        <v>-111920.770625</v>
      </c>
      <c r="R232">
        <v>8967.2118534877245</v>
      </c>
      <c r="S232">
        <v>-12.481111459574731</v>
      </c>
      <c r="T232">
        <v>6.358227011964996E-3</v>
      </c>
      <c r="U232">
        <v>-150503.56918281314</v>
      </c>
      <c r="V232">
        <v>-73337.972067186871</v>
      </c>
      <c r="W232">
        <v>-150503.56918281314</v>
      </c>
      <c r="X232">
        <v>-73337.972067186871</v>
      </c>
    </row>
    <row r="233" spans="1:24" x14ac:dyDescent="0.25">
      <c r="P233" t="s">
        <v>531</v>
      </c>
      <c r="Q233" s="349">
        <v>-10167.444374999997</v>
      </c>
      <c r="R233">
        <v>8967.2118534877263</v>
      </c>
      <c r="S233">
        <v>-1.1338467899635325</v>
      </c>
      <c r="T233" s="319">
        <v>0.37447241646774498</v>
      </c>
      <c r="U233">
        <v>-48750.24293281314</v>
      </c>
      <c r="V233">
        <v>28415.354182813142</v>
      </c>
      <c r="W233">
        <v>-48750.24293281314</v>
      </c>
      <c r="X233">
        <v>28415.354182813142</v>
      </c>
    </row>
    <row r="234" spans="1:24" x14ac:dyDescent="0.25">
      <c r="P234" t="s">
        <v>532</v>
      </c>
      <c r="Q234" s="326">
        <v>2749.3793749999973</v>
      </c>
      <c r="R234">
        <v>8967.2118534877281</v>
      </c>
      <c r="S234">
        <v>0.30660359317045099</v>
      </c>
      <c r="T234" s="319">
        <v>0.78812081009337109</v>
      </c>
      <c r="U234">
        <v>-35833.419182813152</v>
      </c>
      <c r="V234">
        <v>41332.177932813145</v>
      </c>
      <c r="W234">
        <v>-35833.419182813152</v>
      </c>
      <c r="X234">
        <v>41332.177932813145</v>
      </c>
    </row>
    <row r="235" spans="1:24" x14ac:dyDescent="0.25">
      <c r="P235" t="s">
        <v>245</v>
      </c>
      <c r="Q235" s="349">
        <v>16305.979374999997</v>
      </c>
      <c r="R235">
        <v>8967.2118534877263</v>
      </c>
      <c r="S235">
        <v>1.8184001495022017</v>
      </c>
      <c r="T235" s="319">
        <v>0.21062723685008689</v>
      </c>
      <c r="U235">
        <v>-22276.819182813146</v>
      </c>
      <c r="V235">
        <v>54888.777932813136</v>
      </c>
      <c r="W235">
        <v>-22276.819182813146</v>
      </c>
      <c r="X235">
        <v>54888.777932813136</v>
      </c>
    </row>
    <row r="236" spans="1:24" x14ac:dyDescent="0.25">
      <c r="P236" t="s">
        <v>545</v>
      </c>
      <c r="Q236" s="326">
        <v>-1978.0943749999999</v>
      </c>
      <c r="R236">
        <v>8967.2118534877263</v>
      </c>
      <c r="S236">
        <v>-0.22059190831212888</v>
      </c>
      <c r="T236" s="319">
        <v>0.84588157930830576</v>
      </c>
      <c r="U236">
        <v>-40560.892932813142</v>
      </c>
      <c r="V236">
        <v>36604.704182813141</v>
      </c>
      <c r="W236">
        <v>-40560.892932813142</v>
      </c>
      <c r="X236">
        <v>36604.704182813141</v>
      </c>
    </row>
    <row r="237" spans="1:24" x14ac:dyDescent="0.25">
      <c r="P237" t="s">
        <v>651</v>
      </c>
      <c r="Q237" s="326">
        <v>8756.3556250000001</v>
      </c>
      <c r="R237">
        <v>8967.2118534877263</v>
      </c>
      <c r="S237">
        <v>0.97648586517940739</v>
      </c>
      <c r="T237" s="319">
        <v>0.43180728444485528</v>
      </c>
      <c r="U237">
        <v>-29826.442932813141</v>
      </c>
      <c r="V237">
        <v>47339.154182813145</v>
      </c>
      <c r="W237">
        <v>-29826.442932813141</v>
      </c>
      <c r="X237">
        <v>47339.154182813145</v>
      </c>
    </row>
    <row r="238" spans="1:24" x14ac:dyDescent="0.25">
      <c r="P238" t="s">
        <v>538</v>
      </c>
      <c r="Q238" s="326">
        <v>10938.079375000003</v>
      </c>
      <c r="R238">
        <v>8967.2118534877281</v>
      </c>
      <c r="S238">
        <v>1.2197859885228117</v>
      </c>
      <c r="T238" s="319">
        <v>0.3468649260865736</v>
      </c>
      <c r="U238">
        <v>-27644.719182813147</v>
      </c>
      <c r="V238">
        <v>49520.87793281315</v>
      </c>
      <c r="W238">
        <v>-27644.719182813147</v>
      </c>
      <c r="X238">
        <v>49520.87793281315</v>
      </c>
    </row>
    <row r="239" spans="1:24" x14ac:dyDescent="0.25">
      <c r="P239" s="119" t="s">
        <v>652</v>
      </c>
      <c r="Q239" s="327">
        <v>3387.7556250000048</v>
      </c>
      <c r="R239" s="119">
        <v>8967.2118534877281</v>
      </c>
      <c r="S239" s="119">
        <v>0.37779364203181653</v>
      </c>
      <c r="T239" s="320">
        <v>0.74191003498734887</v>
      </c>
      <c r="U239" s="119">
        <v>-35195.042932813143</v>
      </c>
      <c r="V239" s="119">
        <v>41970.554182813154</v>
      </c>
      <c r="W239" s="119">
        <v>-35195.042932813143</v>
      </c>
      <c r="X239" s="119">
        <v>41970.554182813154</v>
      </c>
    </row>
    <row r="243" spans="1:25" x14ac:dyDescent="0.25">
      <c r="A243" s="255"/>
      <c r="B243" s="256"/>
      <c r="C243" s="256"/>
      <c r="D243" s="256"/>
      <c r="E243" s="256"/>
      <c r="F243" s="256"/>
      <c r="G243" s="256"/>
      <c r="H243" s="256"/>
      <c r="I243" s="411" t="s">
        <v>655</v>
      </c>
      <c r="J243" s="411"/>
      <c r="K243" s="411"/>
      <c r="L243" s="411"/>
      <c r="M243" s="411"/>
      <c r="N243" s="256"/>
      <c r="O243" s="256"/>
      <c r="P243" s="256"/>
      <c r="Q243" s="256"/>
      <c r="R243" s="256"/>
      <c r="S243" s="256"/>
      <c r="T243" s="256"/>
      <c r="U243" s="256"/>
      <c r="V243" s="256"/>
      <c r="W243" s="256"/>
      <c r="X243" s="256"/>
      <c r="Y243" s="257"/>
    </row>
    <row r="244" spans="1:25" x14ac:dyDescent="0.25">
      <c r="A244" s="258"/>
      <c r="P244" t="s">
        <v>415</v>
      </c>
      <c r="Y244" s="259"/>
    </row>
    <row r="245" spans="1:25" x14ac:dyDescent="0.25">
      <c r="A245" s="350" t="s">
        <v>529</v>
      </c>
      <c r="B245" t="s">
        <v>531</v>
      </c>
      <c r="C245" t="s">
        <v>532</v>
      </c>
      <c r="D245" t="s">
        <v>533</v>
      </c>
      <c r="E245" t="s">
        <v>534</v>
      </c>
      <c r="F245" t="s">
        <v>245</v>
      </c>
      <c r="G245" t="s">
        <v>610</v>
      </c>
      <c r="H245" t="s">
        <v>326</v>
      </c>
      <c r="Y245" s="259"/>
    </row>
    <row r="246" spans="1:25" ht="13" x14ac:dyDescent="0.3">
      <c r="A246" s="258">
        <v>0</v>
      </c>
      <c r="B246">
        <v>0</v>
      </c>
      <c r="C246">
        <v>0</v>
      </c>
      <c r="D246">
        <v>200</v>
      </c>
      <c r="E246">
        <v>200</v>
      </c>
      <c r="F246">
        <v>200</v>
      </c>
      <c r="G246">
        <v>0</v>
      </c>
      <c r="H246">
        <v>-242.78</v>
      </c>
      <c r="P246" s="406" t="s">
        <v>417</v>
      </c>
      <c r="Q246" s="406"/>
      <c r="Y246" s="259"/>
    </row>
    <row r="247" spans="1:25" x14ac:dyDescent="0.25">
      <c r="A247" s="258">
        <v>200</v>
      </c>
      <c r="B247">
        <v>0</v>
      </c>
      <c r="C247">
        <v>0</v>
      </c>
      <c r="D247">
        <v>0</v>
      </c>
      <c r="E247">
        <v>0</v>
      </c>
      <c r="F247">
        <v>200</v>
      </c>
      <c r="G247">
        <v>200</v>
      </c>
      <c r="H247">
        <v>1415.31</v>
      </c>
      <c r="P247" t="s">
        <v>419</v>
      </c>
      <c r="Q247">
        <v>0.9978826212866525</v>
      </c>
      <c r="Y247" s="259"/>
    </row>
    <row r="248" spans="1:25" x14ac:dyDescent="0.25">
      <c r="A248" s="258">
        <v>0</v>
      </c>
      <c r="B248">
        <v>200</v>
      </c>
      <c r="C248">
        <v>0</v>
      </c>
      <c r="D248">
        <v>0</v>
      </c>
      <c r="E248">
        <v>200</v>
      </c>
      <c r="F248">
        <v>0</v>
      </c>
      <c r="G248">
        <v>200</v>
      </c>
      <c r="H248">
        <v>1088.57</v>
      </c>
      <c r="P248" t="s">
        <v>421</v>
      </c>
      <c r="Q248">
        <v>0.99576972586592072</v>
      </c>
      <c r="Y248" s="259"/>
    </row>
    <row r="249" spans="1:25" x14ac:dyDescent="0.25">
      <c r="A249" s="258">
        <v>200</v>
      </c>
      <c r="B249">
        <v>200</v>
      </c>
      <c r="C249">
        <v>0</v>
      </c>
      <c r="D249">
        <v>200</v>
      </c>
      <c r="E249">
        <v>0</v>
      </c>
      <c r="F249">
        <v>0</v>
      </c>
      <c r="G249">
        <v>0</v>
      </c>
      <c r="H249">
        <v>-156.82</v>
      </c>
      <c r="P249" t="s">
        <v>423</v>
      </c>
      <c r="Q249">
        <v>0.98096376639664307</v>
      </c>
      <c r="Y249" s="259"/>
    </row>
    <row r="250" spans="1:25" x14ac:dyDescent="0.25">
      <c r="A250" s="258">
        <v>0</v>
      </c>
      <c r="B250">
        <v>0</v>
      </c>
      <c r="C250">
        <v>200</v>
      </c>
      <c r="D250">
        <v>200</v>
      </c>
      <c r="E250">
        <v>0</v>
      </c>
      <c r="F250">
        <v>0</v>
      </c>
      <c r="G250">
        <v>200</v>
      </c>
      <c r="H250">
        <v>-338.12</v>
      </c>
      <c r="P250" t="s">
        <v>425</v>
      </c>
      <c r="Q250">
        <v>98.983417929469127</v>
      </c>
      <c r="Y250" s="259"/>
    </row>
    <row r="251" spans="1:25" x14ac:dyDescent="0.25">
      <c r="A251" s="258">
        <v>200</v>
      </c>
      <c r="B251">
        <v>0</v>
      </c>
      <c r="C251">
        <v>200</v>
      </c>
      <c r="D251">
        <v>0</v>
      </c>
      <c r="E251">
        <v>200</v>
      </c>
      <c r="F251">
        <v>0</v>
      </c>
      <c r="G251">
        <v>0</v>
      </c>
      <c r="H251">
        <v>996.77</v>
      </c>
      <c r="P251" s="119" t="s">
        <v>216</v>
      </c>
      <c r="Q251" s="119">
        <v>10</v>
      </c>
      <c r="Y251" s="259"/>
    </row>
    <row r="252" spans="1:25" x14ac:dyDescent="0.25">
      <c r="A252" s="258">
        <v>0</v>
      </c>
      <c r="B252">
        <v>200</v>
      </c>
      <c r="C252">
        <v>200</v>
      </c>
      <c r="D252">
        <v>0</v>
      </c>
      <c r="E252">
        <v>0</v>
      </c>
      <c r="F252">
        <v>200</v>
      </c>
      <c r="G252">
        <v>0</v>
      </c>
      <c r="H252">
        <v>1021.08</v>
      </c>
      <c r="Y252" s="259"/>
    </row>
    <row r="253" spans="1:25" x14ac:dyDescent="0.25">
      <c r="A253" s="258">
        <v>200</v>
      </c>
      <c r="B253">
        <v>200</v>
      </c>
      <c r="C253">
        <v>200</v>
      </c>
      <c r="D253">
        <v>200</v>
      </c>
      <c r="E253">
        <v>200</v>
      </c>
      <c r="F253">
        <v>200</v>
      </c>
      <c r="G253">
        <v>200</v>
      </c>
      <c r="H253">
        <v>606.9</v>
      </c>
      <c r="P253" t="s">
        <v>428</v>
      </c>
      <c r="Y253" s="259"/>
    </row>
    <row r="254" spans="1:25" ht="13" x14ac:dyDescent="0.3">
      <c r="A254" s="258">
        <v>200</v>
      </c>
      <c r="B254">
        <v>0</v>
      </c>
      <c r="C254">
        <v>0</v>
      </c>
      <c r="D254">
        <v>0</v>
      </c>
      <c r="E254">
        <v>0</v>
      </c>
      <c r="F254">
        <v>200</v>
      </c>
      <c r="G254">
        <v>200</v>
      </c>
      <c r="H254">
        <v>1217.76</v>
      </c>
      <c r="P254" s="141"/>
      <c r="Q254" s="141" t="s">
        <v>219</v>
      </c>
      <c r="R254" s="141" t="s">
        <v>429</v>
      </c>
      <c r="S254" s="141" t="s">
        <v>430</v>
      </c>
      <c r="T254" s="141" t="s">
        <v>245</v>
      </c>
      <c r="U254" s="141" t="s">
        <v>431</v>
      </c>
      <c r="Y254" s="259"/>
    </row>
    <row r="255" spans="1:25" x14ac:dyDescent="0.25">
      <c r="A255" s="258">
        <v>0</v>
      </c>
      <c r="B255">
        <v>0</v>
      </c>
      <c r="C255">
        <v>200</v>
      </c>
      <c r="D255">
        <v>200</v>
      </c>
      <c r="E255">
        <v>0</v>
      </c>
      <c r="F255">
        <v>0</v>
      </c>
      <c r="G255">
        <v>200</v>
      </c>
      <c r="H255">
        <v>-350.96</v>
      </c>
      <c r="P255" t="s">
        <v>383</v>
      </c>
      <c r="Q255">
        <v>7</v>
      </c>
      <c r="R255">
        <v>4612594.6862399997</v>
      </c>
      <c r="S255">
        <v>658942.09803428571</v>
      </c>
      <c r="T255">
        <v>67.254657013763776</v>
      </c>
      <c r="U255">
        <v>1.4727833395175936E-2</v>
      </c>
      <c r="Y255" s="259"/>
    </row>
    <row r="256" spans="1:25" x14ac:dyDescent="0.25">
      <c r="A256" s="258"/>
      <c r="P256" t="s">
        <v>434</v>
      </c>
      <c r="Q256">
        <v>2</v>
      </c>
      <c r="R256">
        <v>19595.434049999902</v>
      </c>
      <c r="S256">
        <v>9797.7170249999508</v>
      </c>
      <c r="Y256" s="259"/>
    </row>
    <row r="257" spans="1:25" x14ac:dyDescent="0.25">
      <c r="A257" s="258"/>
      <c r="P257" s="119" t="s">
        <v>436</v>
      </c>
      <c r="Q257" s="119">
        <v>9</v>
      </c>
      <c r="R257" s="119">
        <v>4632190.12029</v>
      </c>
      <c r="S257" s="119"/>
      <c r="T257" s="119"/>
      <c r="U257" s="119"/>
      <c r="Y257" s="259"/>
    </row>
    <row r="258" spans="1:25" x14ac:dyDescent="0.25">
      <c r="A258" s="258"/>
      <c r="Y258" s="259"/>
    </row>
    <row r="259" spans="1:25" ht="13" x14ac:dyDescent="0.3">
      <c r="A259" s="258"/>
      <c r="P259" s="141"/>
      <c r="Q259" s="141" t="s">
        <v>438</v>
      </c>
      <c r="R259" s="141" t="s">
        <v>425</v>
      </c>
      <c r="S259" s="141" t="s">
        <v>439</v>
      </c>
      <c r="T259" s="141" t="s">
        <v>440</v>
      </c>
      <c r="U259" s="141" t="s">
        <v>441</v>
      </c>
      <c r="V259" s="141" t="s">
        <v>442</v>
      </c>
      <c r="W259" s="141" t="s">
        <v>566</v>
      </c>
      <c r="X259" s="141" t="s">
        <v>567</v>
      </c>
      <c r="Y259" s="259"/>
    </row>
    <row r="260" spans="1:25" x14ac:dyDescent="0.25">
      <c r="A260" s="258"/>
      <c r="P260" t="s">
        <v>445</v>
      </c>
      <c r="Q260">
        <v>464.52875</v>
      </c>
      <c r="R260">
        <v>95.840282297880648</v>
      </c>
      <c r="S260">
        <v>4.8469050681236565</v>
      </c>
      <c r="T260">
        <v>4.0028376476209541E-2</v>
      </c>
      <c r="U260">
        <v>52.161297770704039</v>
      </c>
      <c r="V260">
        <v>876.89620222929534</v>
      </c>
      <c r="W260">
        <v>52.161297770704039</v>
      </c>
      <c r="X260">
        <v>876.89620222929534</v>
      </c>
      <c r="Y260" s="259"/>
    </row>
    <row r="261" spans="1:25" x14ac:dyDescent="0.25">
      <c r="A261" s="258"/>
      <c r="P261" t="s">
        <v>529</v>
      </c>
      <c r="Q261">
        <v>1.5513187499999999</v>
      </c>
      <c r="R261">
        <v>0.32735688470068403</v>
      </c>
      <c r="S261">
        <v>4.7389220221179551</v>
      </c>
      <c r="T261" s="351">
        <v>4.1759373408808961E-2</v>
      </c>
      <c r="U261">
        <v>0.14281575650740375</v>
      </c>
      <c r="V261">
        <v>2.9598217434925962</v>
      </c>
      <c r="W261">
        <v>0.14281575650740375</v>
      </c>
      <c r="X261">
        <v>2.9598217434925962</v>
      </c>
      <c r="Y261" s="259"/>
    </row>
    <row r="262" spans="1:25" x14ac:dyDescent="0.25">
      <c r="A262" s="258"/>
      <c r="P262" t="s">
        <v>531</v>
      </c>
      <c r="Q262">
        <v>1.0421812500000005</v>
      </c>
      <c r="R262">
        <v>0.32735688470068408</v>
      </c>
      <c r="S262">
        <v>3.1836240467430823</v>
      </c>
      <c r="T262" s="352">
        <v>8.6110646915082537E-2</v>
      </c>
      <c r="U262">
        <v>-0.36632174349259583</v>
      </c>
      <c r="V262">
        <v>2.4506842434925966</v>
      </c>
      <c r="W262">
        <v>-0.36632174349259583</v>
      </c>
      <c r="X262">
        <v>2.4506842434925966</v>
      </c>
      <c r="Y262" s="259"/>
    </row>
    <row r="263" spans="1:25" x14ac:dyDescent="0.25">
      <c r="A263" s="258"/>
      <c r="P263" t="s">
        <v>532</v>
      </c>
      <c r="Q263">
        <v>0.34338125000000236</v>
      </c>
      <c r="R263">
        <v>0.32735688470068408</v>
      </c>
      <c r="S263">
        <v>1.048950750841761</v>
      </c>
      <c r="T263" s="352">
        <v>0.40426460964674416</v>
      </c>
      <c r="U263">
        <v>-1.0651217434925939</v>
      </c>
      <c r="V263">
        <v>1.7518842434925987</v>
      </c>
      <c r="W263">
        <v>-1.0651217434925939</v>
      </c>
      <c r="X263">
        <v>1.7518842434925987</v>
      </c>
      <c r="Y263" s="259"/>
    </row>
    <row r="264" spans="1:25" x14ac:dyDescent="0.25">
      <c r="A264" s="258"/>
      <c r="P264" t="s">
        <v>533</v>
      </c>
      <c r="Q264">
        <v>-5.7002437500000021</v>
      </c>
      <c r="R264">
        <v>0.32735688470068403</v>
      </c>
      <c r="S264">
        <v>-17.412933762526396</v>
      </c>
      <c r="T264" s="351">
        <v>3.2818149596779405E-3</v>
      </c>
      <c r="U264">
        <v>-7.1087467434925982</v>
      </c>
      <c r="V264">
        <v>-4.2917407565074059</v>
      </c>
      <c r="W264">
        <v>-7.1087467434925982</v>
      </c>
      <c r="X264">
        <v>-4.2917407565074059</v>
      </c>
      <c r="Y264" s="259"/>
    </row>
    <row r="265" spans="1:25" x14ac:dyDescent="0.25">
      <c r="A265" s="258"/>
      <c r="P265" t="s">
        <v>534</v>
      </c>
      <c r="Q265">
        <v>0.76650625000000072</v>
      </c>
      <c r="R265">
        <v>0.32735688470068403</v>
      </c>
      <c r="S265">
        <v>2.3415003191420554</v>
      </c>
      <c r="T265" s="352">
        <v>0.14401280583652418</v>
      </c>
      <c r="U265">
        <v>-0.64199674349259539</v>
      </c>
      <c r="V265">
        <v>2.1750092434925969</v>
      </c>
      <c r="W265">
        <v>-0.64199674349259539</v>
      </c>
      <c r="X265">
        <v>2.1750092434925969</v>
      </c>
      <c r="Y265" s="259"/>
    </row>
    <row r="266" spans="1:25" x14ac:dyDescent="0.25">
      <c r="A266" s="258"/>
      <c r="P266" t="s">
        <v>245</v>
      </c>
      <c r="Q266">
        <v>1.3971937500000011</v>
      </c>
      <c r="R266">
        <v>0.32735688470068408</v>
      </c>
      <c r="S266">
        <v>4.2681055914785881</v>
      </c>
      <c r="T266" s="353">
        <v>5.0751871152355722E-2</v>
      </c>
      <c r="U266">
        <v>-1.1309243492595211E-2</v>
      </c>
      <c r="V266">
        <v>2.8056967434925975</v>
      </c>
      <c r="W266">
        <v>-1.1309243492595211E-2</v>
      </c>
      <c r="X266">
        <v>2.8056967434925975</v>
      </c>
      <c r="Y266" s="259"/>
    </row>
    <row r="267" spans="1:25" x14ac:dyDescent="0.25">
      <c r="A267" s="258"/>
      <c r="P267" s="119" t="s">
        <v>610</v>
      </c>
      <c r="Q267" s="119">
        <v>1.3115187500000005</v>
      </c>
      <c r="R267" s="119">
        <v>0.32735688470068408</v>
      </c>
      <c r="S267" s="119">
        <v>4.0063881692886225</v>
      </c>
      <c r="T267" s="354">
        <v>5.7024013348924006E-2</v>
      </c>
      <c r="U267" s="119">
        <v>-9.6984243492595823E-2</v>
      </c>
      <c r="V267" s="119">
        <v>2.7200217434925968</v>
      </c>
      <c r="W267" s="119">
        <v>-9.6984243492595823E-2</v>
      </c>
      <c r="X267" s="119">
        <v>2.7200217434925968</v>
      </c>
      <c r="Y267" s="259"/>
    </row>
    <row r="268" spans="1:25" x14ac:dyDescent="0.25">
      <c r="A268" s="258"/>
      <c r="Y268" s="259"/>
    </row>
    <row r="269" spans="1:25" x14ac:dyDescent="0.25">
      <c r="A269" s="258"/>
      <c r="Y269" s="259"/>
    </row>
    <row r="270" spans="1:25" x14ac:dyDescent="0.25">
      <c r="A270" s="258"/>
      <c r="Y270" s="259"/>
    </row>
    <row r="271" spans="1:25" ht="13" x14ac:dyDescent="0.3">
      <c r="A271" s="258"/>
      <c r="P271" s="19" t="s">
        <v>656</v>
      </c>
      <c r="Q271" s="19"/>
      <c r="R271" s="19"/>
      <c r="S271" s="19"/>
      <c r="T271" s="19"/>
      <c r="U271" s="19"/>
      <c r="V271" s="19"/>
      <c r="W271" s="23"/>
      <c r="X271" s="23"/>
      <c r="Y271" s="259"/>
    </row>
    <row r="272" spans="1:25" x14ac:dyDescent="0.25">
      <c r="A272" s="258"/>
      <c r="P272" s="19" t="s">
        <v>657</v>
      </c>
      <c r="Q272" s="19"/>
      <c r="R272" s="19"/>
      <c r="S272" s="19"/>
      <c r="T272" s="19"/>
      <c r="U272" s="19"/>
      <c r="V272" s="19"/>
      <c r="Y272" s="259"/>
    </row>
    <row r="273" spans="1:25" x14ac:dyDescent="0.25">
      <c r="A273" s="258"/>
      <c r="P273" s="19"/>
      <c r="Q273" s="19"/>
      <c r="R273" s="19"/>
      <c r="S273" s="19"/>
      <c r="T273" s="19"/>
      <c r="U273" s="19"/>
      <c r="V273" s="19"/>
      <c r="Y273" s="259"/>
    </row>
    <row r="274" spans="1:25" x14ac:dyDescent="0.25">
      <c r="A274" s="258"/>
      <c r="P274" s="19" t="s">
        <v>658</v>
      </c>
      <c r="Q274" s="19"/>
      <c r="R274" s="19"/>
      <c r="S274" s="19"/>
      <c r="T274" s="19"/>
      <c r="U274" s="19"/>
      <c r="V274" s="19"/>
      <c r="Y274" s="259"/>
    </row>
    <row r="275" spans="1:25" x14ac:dyDescent="0.25">
      <c r="A275" s="258"/>
      <c r="Y275" s="259"/>
    </row>
    <row r="276" spans="1:25" x14ac:dyDescent="0.25">
      <c r="A276" s="99"/>
      <c r="B276" s="119"/>
      <c r="C276" s="119"/>
      <c r="D276" s="119"/>
      <c r="E276" s="119"/>
      <c r="F276" s="119"/>
      <c r="G276" s="119"/>
      <c r="H276" s="119"/>
      <c r="I276" s="119"/>
      <c r="J276" s="119"/>
      <c r="K276" s="119"/>
      <c r="L276" s="119"/>
      <c r="M276" s="119"/>
      <c r="N276" s="119"/>
      <c r="O276" s="119"/>
      <c r="P276" s="119"/>
      <c r="Q276" s="119"/>
      <c r="R276" s="119"/>
      <c r="S276" s="119"/>
      <c r="T276" s="119"/>
      <c r="U276" s="119"/>
      <c r="V276" s="119"/>
      <c r="W276" s="119"/>
      <c r="X276" s="119"/>
      <c r="Y276" s="264"/>
    </row>
    <row r="280" spans="1:25" ht="13" x14ac:dyDescent="0.3">
      <c r="A280" s="255"/>
      <c r="B280" s="256"/>
      <c r="C280" s="256"/>
      <c r="D280" s="256"/>
      <c r="E280" s="256"/>
      <c r="F280" s="256"/>
      <c r="G280" s="256"/>
      <c r="H280" s="256"/>
      <c r="I280" s="424" t="s">
        <v>659</v>
      </c>
      <c r="J280" s="424"/>
      <c r="K280" s="424"/>
      <c r="L280" s="424"/>
      <c r="M280" s="424"/>
      <c r="N280" s="424"/>
      <c r="O280" s="424"/>
      <c r="P280" s="424"/>
      <c r="Q280" s="256"/>
      <c r="R280" s="256"/>
      <c r="S280" s="256"/>
      <c r="T280" s="256"/>
      <c r="U280" s="256"/>
      <c r="V280" s="256"/>
      <c r="W280" s="256"/>
      <c r="X280" s="256"/>
      <c r="Y280" s="257"/>
    </row>
    <row r="281" spans="1:25" ht="13" x14ac:dyDescent="0.3">
      <c r="A281" s="258"/>
      <c r="I281" s="31"/>
      <c r="J281" s="31"/>
      <c r="K281" s="31"/>
      <c r="L281" s="31"/>
      <c r="M281" s="31"/>
      <c r="N281" s="31"/>
      <c r="O281" s="31"/>
      <c r="P281" s="31"/>
      <c r="Y281" s="259"/>
    </row>
    <row r="282" spans="1:25" x14ac:dyDescent="0.25">
      <c r="A282" s="258"/>
      <c r="P282" t="s">
        <v>415</v>
      </c>
      <c r="Y282" s="259"/>
    </row>
    <row r="283" spans="1:25" x14ac:dyDescent="0.25">
      <c r="A283" s="350" t="s">
        <v>529</v>
      </c>
      <c r="B283" t="s">
        <v>531</v>
      </c>
      <c r="C283" t="s">
        <v>532</v>
      </c>
      <c r="D283" s="156" t="s">
        <v>533</v>
      </c>
      <c r="E283" s="156" t="s">
        <v>534</v>
      </c>
      <c r="F283" s="156" t="s">
        <v>245</v>
      </c>
      <c r="G283" t="s">
        <v>610</v>
      </c>
      <c r="H283" t="s">
        <v>326</v>
      </c>
      <c r="Y283" s="259"/>
    </row>
    <row r="284" spans="1:25" ht="13" x14ac:dyDescent="0.3">
      <c r="A284" s="258">
        <v>0</v>
      </c>
      <c r="B284">
        <v>0</v>
      </c>
      <c r="C284">
        <v>0</v>
      </c>
      <c r="D284" s="156">
        <v>50</v>
      </c>
      <c r="E284" s="156">
        <v>50</v>
      </c>
      <c r="F284" s="156">
        <v>50</v>
      </c>
      <c r="G284">
        <v>0</v>
      </c>
      <c r="H284">
        <v>3832.03</v>
      </c>
      <c r="P284" s="406" t="s">
        <v>417</v>
      </c>
      <c r="Q284" s="406"/>
      <c r="Y284" s="259"/>
    </row>
    <row r="285" spans="1:25" x14ac:dyDescent="0.25">
      <c r="A285" s="258">
        <v>0</v>
      </c>
      <c r="B285">
        <v>0</v>
      </c>
      <c r="C285">
        <v>50</v>
      </c>
      <c r="D285" s="156">
        <v>50</v>
      </c>
      <c r="E285" s="156">
        <v>0</v>
      </c>
      <c r="F285" s="156">
        <v>0</v>
      </c>
      <c r="G285">
        <v>50</v>
      </c>
      <c r="H285">
        <v>-4002.1600000000003</v>
      </c>
      <c r="P285" t="s">
        <v>419</v>
      </c>
      <c r="Q285">
        <v>0.99993935512850485</v>
      </c>
      <c r="Y285" s="259"/>
    </row>
    <row r="286" spans="1:25" x14ac:dyDescent="0.25">
      <c r="A286" s="258">
        <v>0</v>
      </c>
      <c r="B286">
        <v>50</v>
      </c>
      <c r="C286">
        <v>0</v>
      </c>
      <c r="D286" s="156">
        <v>0</v>
      </c>
      <c r="E286" s="156">
        <v>50</v>
      </c>
      <c r="F286" s="156">
        <v>0</v>
      </c>
      <c r="G286">
        <v>50</v>
      </c>
      <c r="H286">
        <v>1022.08</v>
      </c>
      <c r="P286" t="s">
        <v>421</v>
      </c>
      <c r="Q286">
        <v>0.99987871393481009</v>
      </c>
      <c r="Y286" s="259"/>
    </row>
    <row r="287" spans="1:25" x14ac:dyDescent="0.25">
      <c r="A287" s="258">
        <v>0</v>
      </c>
      <c r="B287">
        <v>50</v>
      </c>
      <c r="C287">
        <v>50</v>
      </c>
      <c r="D287" s="156">
        <v>0</v>
      </c>
      <c r="E287" s="156">
        <v>0</v>
      </c>
      <c r="F287" s="156">
        <v>50</v>
      </c>
      <c r="G287">
        <v>0</v>
      </c>
      <c r="H287">
        <v>-8963.09</v>
      </c>
      <c r="P287" t="s">
        <v>423</v>
      </c>
      <c r="Q287">
        <v>0.99945421270664525</v>
      </c>
      <c r="Y287" s="259"/>
    </row>
    <row r="288" spans="1:25" x14ac:dyDescent="0.25">
      <c r="A288" s="258">
        <v>50</v>
      </c>
      <c r="B288">
        <v>0</v>
      </c>
      <c r="C288">
        <v>0</v>
      </c>
      <c r="D288" s="156">
        <v>0</v>
      </c>
      <c r="E288" s="156">
        <v>0</v>
      </c>
      <c r="F288" s="156">
        <v>50</v>
      </c>
      <c r="G288">
        <v>50</v>
      </c>
      <c r="H288">
        <v>-8745.2999999999993</v>
      </c>
      <c r="P288" t="s">
        <v>425</v>
      </c>
      <c r="Q288">
        <v>126.88062992435071</v>
      </c>
      <c r="Y288" s="259"/>
    </row>
    <row r="289" spans="1:25" x14ac:dyDescent="0.25">
      <c r="A289" s="258">
        <v>50</v>
      </c>
      <c r="B289">
        <v>0</v>
      </c>
      <c r="C289">
        <v>50</v>
      </c>
      <c r="D289" s="156">
        <v>0</v>
      </c>
      <c r="E289" s="156">
        <v>50</v>
      </c>
      <c r="F289" s="156">
        <v>0</v>
      </c>
      <c r="G289">
        <v>0</v>
      </c>
      <c r="H289">
        <v>1011.22</v>
      </c>
      <c r="P289" s="119" t="s">
        <v>216</v>
      </c>
      <c r="Q289" s="119">
        <v>10</v>
      </c>
      <c r="Y289" s="259"/>
    </row>
    <row r="290" spans="1:25" x14ac:dyDescent="0.25">
      <c r="A290" s="258">
        <v>50</v>
      </c>
      <c r="B290">
        <v>50</v>
      </c>
      <c r="C290">
        <v>0</v>
      </c>
      <c r="D290" s="156">
        <v>50</v>
      </c>
      <c r="E290" s="156">
        <v>0</v>
      </c>
      <c r="F290" s="156">
        <v>0</v>
      </c>
      <c r="G290">
        <v>0</v>
      </c>
      <c r="H290">
        <v>-4086.39</v>
      </c>
      <c r="Y290" s="259"/>
    </row>
    <row r="291" spans="1:25" x14ac:dyDescent="0.25">
      <c r="A291" s="258">
        <v>50</v>
      </c>
      <c r="B291">
        <v>50</v>
      </c>
      <c r="C291">
        <v>50</v>
      </c>
      <c r="D291" s="156">
        <v>50</v>
      </c>
      <c r="E291" s="156">
        <v>50</v>
      </c>
      <c r="F291" s="156">
        <v>50</v>
      </c>
      <c r="G291">
        <v>50</v>
      </c>
      <c r="H291">
        <v>3726.71</v>
      </c>
      <c r="P291" t="s">
        <v>428</v>
      </c>
      <c r="Y291" s="259"/>
    </row>
    <row r="292" spans="1:25" ht="13" x14ac:dyDescent="0.3">
      <c r="A292" s="258">
        <v>0</v>
      </c>
      <c r="B292">
        <v>0</v>
      </c>
      <c r="C292">
        <v>0</v>
      </c>
      <c r="D292" s="156">
        <v>50</v>
      </c>
      <c r="E292" s="156">
        <v>50</v>
      </c>
      <c r="F292" s="156">
        <v>50</v>
      </c>
      <c r="G292">
        <v>0</v>
      </c>
      <c r="H292">
        <v>3748.76</v>
      </c>
      <c r="P292" s="141"/>
      <c r="Q292" s="141" t="s">
        <v>219</v>
      </c>
      <c r="R292" s="141" t="s">
        <v>429</v>
      </c>
      <c r="S292" s="141" t="s">
        <v>430</v>
      </c>
      <c r="T292" s="141" t="s">
        <v>245</v>
      </c>
      <c r="U292" s="141" t="s">
        <v>431</v>
      </c>
      <c r="Y292" s="259"/>
    </row>
    <row r="293" spans="1:25" x14ac:dyDescent="0.25">
      <c r="A293" s="258">
        <v>0</v>
      </c>
      <c r="B293">
        <v>50</v>
      </c>
      <c r="C293">
        <v>50</v>
      </c>
      <c r="D293" s="156">
        <v>0</v>
      </c>
      <c r="E293" s="156">
        <v>0</v>
      </c>
      <c r="F293" s="156">
        <v>50</v>
      </c>
      <c r="G293">
        <v>0</v>
      </c>
      <c r="H293">
        <v>-8723.3799999999992</v>
      </c>
      <c r="P293" t="s">
        <v>383</v>
      </c>
      <c r="Q293">
        <v>7</v>
      </c>
      <c r="R293">
        <v>265434313.12606001</v>
      </c>
      <c r="S293">
        <v>37919187.589437142</v>
      </c>
      <c r="T293">
        <v>2355.4200732420918</v>
      </c>
      <c r="U293">
        <v>4.2443687447107204E-4</v>
      </c>
      <c r="Y293" s="259"/>
    </row>
    <row r="294" spans="1:25" x14ac:dyDescent="0.25">
      <c r="A294" s="258"/>
      <c r="P294" t="s">
        <v>434</v>
      </c>
      <c r="Q294">
        <v>2</v>
      </c>
      <c r="R294">
        <v>32197.388500000085</v>
      </c>
      <c r="S294">
        <v>16098.694250000042</v>
      </c>
      <c r="Y294" s="259"/>
    </row>
    <row r="295" spans="1:25" x14ac:dyDescent="0.25">
      <c r="A295" s="258"/>
      <c r="P295" s="119" t="s">
        <v>436</v>
      </c>
      <c r="Q295" s="119">
        <v>9</v>
      </c>
      <c r="R295" s="119">
        <v>265466510.51456001</v>
      </c>
      <c r="S295" s="119"/>
      <c r="T295" s="119"/>
      <c r="U295" s="119"/>
      <c r="Y295" s="259"/>
    </row>
    <row r="296" spans="1:25" x14ac:dyDescent="0.25">
      <c r="A296" s="258"/>
      <c r="Y296" s="259"/>
    </row>
    <row r="297" spans="1:25" ht="13" x14ac:dyDescent="0.3">
      <c r="A297" s="258"/>
      <c r="P297" s="141"/>
      <c r="Q297" s="141" t="s">
        <v>438</v>
      </c>
      <c r="R297" s="141" t="s">
        <v>425</v>
      </c>
      <c r="S297" s="141" t="s">
        <v>439</v>
      </c>
      <c r="T297" s="141" t="s">
        <v>440</v>
      </c>
      <c r="U297" s="141" t="s">
        <v>441</v>
      </c>
      <c r="V297" s="141" t="s">
        <v>442</v>
      </c>
      <c r="W297" s="141" t="s">
        <v>566</v>
      </c>
      <c r="X297" s="141" t="s">
        <v>567</v>
      </c>
      <c r="Y297" s="259"/>
    </row>
    <row r="298" spans="1:25" x14ac:dyDescent="0.25">
      <c r="A298" s="258"/>
      <c r="P298" t="s">
        <v>445</v>
      </c>
      <c r="Q298">
        <v>-7758.38</v>
      </c>
      <c r="R298">
        <v>122.85164166332918</v>
      </c>
      <c r="S298">
        <v>-63.152432437668025</v>
      </c>
      <c r="T298">
        <v>2.5064354858582357E-4</v>
      </c>
      <c r="U298">
        <v>-8286.9679513317496</v>
      </c>
      <c r="V298">
        <v>-7229.7920486682469</v>
      </c>
      <c r="W298">
        <v>-8286.9679513317496</v>
      </c>
      <c r="X298">
        <v>-7229.7920486682469</v>
      </c>
      <c r="Y298" s="259"/>
    </row>
    <row r="299" spans="1:25" x14ac:dyDescent="0.25">
      <c r="A299" s="258"/>
      <c r="P299" t="s">
        <v>529</v>
      </c>
      <c r="Q299" s="73">
        <v>-0.30419999999997632</v>
      </c>
      <c r="R299">
        <v>1.6784729648552601</v>
      </c>
      <c r="S299">
        <v>-0.18123616308959045</v>
      </c>
      <c r="T299" s="352">
        <v>0.87288624123432479</v>
      </c>
      <c r="U299">
        <v>-7.5260862837011819</v>
      </c>
      <c r="V299">
        <v>6.9176862837012285</v>
      </c>
      <c r="W299">
        <v>-7.5260862837011819</v>
      </c>
      <c r="X299">
        <v>6.9176862837012285</v>
      </c>
      <c r="Y299" s="259"/>
    </row>
    <row r="300" spans="1:25" x14ac:dyDescent="0.25">
      <c r="A300" s="258"/>
      <c r="P300" t="s">
        <v>531</v>
      </c>
      <c r="Q300" s="73">
        <v>-1.1749500000000193</v>
      </c>
      <c r="R300">
        <v>1.6784729648552601</v>
      </c>
      <c r="S300">
        <v>-0.70001127489196036</v>
      </c>
      <c r="T300" s="352">
        <v>0.55638728560486328</v>
      </c>
      <c r="U300">
        <v>-8.3968362837012247</v>
      </c>
      <c r="V300">
        <v>6.0469362837011857</v>
      </c>
      <c r="W300">
        <v>-8.3968362837012247</v>
      </c>
      <c r="X300">
        <v>6.0469362837011857</v>
      </c>
      <c r="Y300" s="259"/>
    </row>
    <row r="301" spans="1:25" x14ac:dyDescent="0.25">
      <c r="A301" s="258"/>
      <c r="P301" t="s">
        <v>532</v>
      </c>
      <c r="Q301" s="73">
        <v>-0.44125000000001663</v>
      </c>
      <c r="R301">
        <v>1.6784729648552601</v>
      </c>
      <c r="S301">
        <v>-0.26288776122054902</v>
      </c>
      <c r="T301" s="352">
        <v>0.81724108095618042</v>
      </c>
      <c r="U301">
        <v>-7.6631362837012222</v>
      </c>
      <c r="V301">
        <v>6.7806362837011882</v>
      </c>
      <c r="W301">
        <v>-7.6631362837012222</v>
      </c>
      <c r="X301">
        <v>6.7806362837011882</v>
      </c>
      <c r="Y301" s="259"/>
    </row>
    <row r="302" spans="1:25" x14ac:dyDescent="0.25">
      <c r="A302" s="258"/>
      <c r="P302" t="s">
        <v>533</v>
      </c>
      <c r="Q302" s="73">
        <v>74.918950000000009</v>
      </c>
      <c r="R302">
        <v>1.6784729648552601</v>
      </c>
      <c r="S302">
        <v>44.635184223214758</v>
      </c>
      <c r="T302" s="352">
        <v>5.0155493430085693E-4</v>
      </c>
      <c r="U302">
        <v>67.6970637162988</v>
      </c>
      <c r="V302">
        <v>82.140836283701219</v>
      </c>
      <c r="W302">
        <v>67.6970637162988</v>
      </c>
      <c r="X302">
        <v>82.140836283701219</v>
      </c>
      <c r="Y302" s="259"/>
    </row>
    <row r="303" spans="1:25" x14ac:dyDescent="0.25">
      <c r="A303" s="258"/>
      <c r="P303" t="s">
        <v>534</v>
      </c>
      <c r="Q303" s="73">
        <v>176.13744999999992</v>
      </c>
      <c r="R303">
        <v>1.6784729648552597</v>
      </c>
      <c r="S303">
        <v>104.93910458378389</v>
      </c>
      <c r="T303" s="352">
        <v>9.0795879597660402E-5</v>
      </c>
      <c r="U303">
        <v>168.91556371629872</v>
      </c>
      <c r="V303">
        <v>183.35933628370111</v>
      </c>
      <c r="W303">
        <v>168.91556371629872</v>
      </c>
      <c r="X303">
        <v>183.35933628370111</v>
      </c>
      <c r="Y303" s="259"/>
    </row>
    <row r="304" spans="1:25" x14ac:dyDescent="0.25">
      <c r="A304" s="258"/>
      <c r="P304" t="s">
        <v>245</v>
      </c>
      <c r="Q304" s="73">
        <v>-20.080899999999989</v>
      </c>
      <c r="R304">
        <v>1.6784729648552605</v>
      </c>
      <c r="S304">
        <v>-11.963791148540556</v>
      </c>
      <c r="T304" s="352">
        <v>6.9141678737337916E-3</v>
      </c>
      <c r="U304">
        <v>-27.302786283701195</v>
      </c>
      <c r="V304">
        <v>-12.859013716298783</v>
      </c>
      <c r="W304">
        <v>-27.302786283701195</v>
      </c>
      <c r="X304">
        <v>-12.859013716298783</v>
      </c>
      <c r="Y304" s="259"/>
    </row>
    <row r="305" spans="1:32" x14ac:dyDescent="0.25">
      <c r="A305" s="258"/>
      <c r="P305" s="119" t="s">
        <v>610</v>
      </c>
      <c r="Q305" s="355">
        <v>0.64670000000002825</v>
      </c>
      <c r="R305" s="119">
        <v>1.6784729648552603</v>
      </c>
      <c r="S305" s="119">
        <v>0.38529068596335425</v>
      </c>
      <c r="T305" s="356">
        <v>0.73713909738430039</v>
      </c>
      <c r="U305" s="119">
        <v>-6.5751862837011776</v>
      </c>
      <c r="V305" s="119">
        <v>7.8685862837012346</v>
      </c>
      <c r="W305" s="119">
        <v>-6.5751862837011776</v>
      </c>
      <c r="X305" s="119">
        <v>7.8685862837012346</v>
      </c>
      <c r="Y305" s="259"/>
    </row>
    <row r="306" spans="1:32" x14ac:dyDescent="0.25">
      <c r="A306" s="258"/>
      <c r="Y306" s="259"/>
    </row>
    <row r="307" spans="1:32" x14ac:dyDescent="0.25">
      <c r="A307" s="258"/>
      <c r="Y307" s="259"/>
    </row>
    <row r="308" spans="1:32" x14ac:dyDescent="0.25">
      <c r="A308" s="258"/>
      <c r="P308" s="19" t="s">
        <v>660</v>
      </c>
      <c r="Q308" s="19"/>
      <c r="R308" s="19"/>
      <c r="S308" s="19"/>
      <c r="T308" s="19"/>
      <c r="Y308" s="259"/>
    </row>
    <row r="309" spans="1:32" x14ac:dyDescent="0.25">
      <c r="A309" s="258"/>
      <c r="P309" s="19" t="s">
        <v>661</v>
      </c>
      <c r="Q309" s="19"/>
      <c r="R309" s="19"/>
      <c r="S309" s="19"/>
      <c r="T309" s="19"/>
      <c r="Y309" s="259"/>
    </row>
    <row r="310" spans="1:32" x14ac:dyDescent="0.25">
      <c r="A310" s="258"/>
      <c r="P310" s="19" t="s">
        <v>624</v>
      </c>
      <c r="Q310" s="19"/>
      <c r="R310" s="19"/>
      <c r="S310" s="19"/>
      <c r="T310" s="19"/>
      <c r="Y310" s="259"/>
    </row>
    <row r="311" spans="1:32" x14ac:dyDescent="0.25">
      <c r="A311" s="258"/>
      <c r="Y311" s="259"/>
    </row>
    <row r="312" spans="1:32" x14ac:dyDescent="0.25">
      <c r="A312" s="258"/>
      <c r="Y312" s="259"/>
    </row>
    <row r="313" spans="1:32" x14ac:dyDescent="0.25">
      <c r="A313" s="258"/>
      <c r="Y313" s="259"/>
      <c r="Z313" s="99"/>
      <c r="AA313" s="119"/>
      <c r="AB313" s="119"/>
      <c r="AC313" s="119"/>
      <c r="AD313" s="119"/>
      <c r="AE313" s="119"/>
      <c r="AF313" s="119"/>
    </row>
    <row r="314" spans="1:32" x14ac:dyDescent="0.25">
      <c r="A314" s="258"/>
      <c r="W314" t="s">
        <v>415</v>
      </c>
      <c r="AF314" s="257"/>
    </row>
    <row r="315" spans="1:32" x14ac:dyDescent="0.25">
      <c r="A315" s="258"/>
      <c r="L315" s="32">
        <v>1</v>
      </c>
      <c r="M315" s="32">
        <v>3</v>
      </c>
      <c r="N315" s="32">
        <v>5</v>
      </c>
      <c r="O315" s="32"/>
      <c r="P315" s="32"/>
      <c r="Q315" s="32"/>
      <c r="R315" s="32"/>
      <c r="AF315" s="259"/>
    </row>
    <row r="316" spans="1:32" ht="13" x14ac:dyDescent="0.3">
      <c r="A316" s="357"/>
      <c r="B316" s="422" t="s">
        <v>551</v>
      </c>
      <c r="C316" s="422"/>
      <c r="D316" s="422"/>
      <c r="E316" s="422"/>
      <c r="F316" s="422"/>
      <c r="G316" s="422"/>
      <c r="H316" s="422"/>
      <c r="K316" s="332"/>
      <c r="L316" s="422" t="s">
        <v>551</v>
      </c>
      <c r="M316" s="422"/>
      <c r="N316" s="422"/>
      <c r="O316" s="422"/>
      <c r="P316" s="422"/>
      <c r="Q316" s="422"/>
      <c r="R316" s="422"/>
      <c r="W316" s="406" t="s">
        <v>417</v>
      </c>
      <c r="X316" s="406"/>
      <c r="AF316" s="259"/>
    </row>
    <row r="317" spans="1:32" ht="13" x14ac:dyDescent="0.3">
      <c r="A317" s="342" t="s">
        <v>552</v>
      </c>
      <c r="B317" s="11" t="s">
        <v>529</v>
      </c>
      <c r="C317" s="67" t="s">
        <v>531</v>
      </c>
      <c r="D317" s="11" t="s">
        <v>532</v>
      </c>
      <c r="E317" s="67" t="s">
        <v>533</v>
      </c>
      <c r="F317" s="11" t="s">
        <v>534</v>
      </c>
      <c r="G317" s="67" t="s">
        <v>245</v>
      </c>
      <c r="H317" s="67">
        <v>7</v>
      </c>
      <c r="K317" s="77" t="s">
        <v>552</v>
      </c>
      <c r="L317" s="67" t="s">
        <v>529</v>
      </c>
      <c r="M317" s="67" t="s">
        <v>532</v>
      </c>
      <c r="N317" s="67" t="s">
        <v>534</v>
      </c>
      <c r="O317" s="67" t="s">
        <v>544</v>
      </c>
      <c r="P317" s="67" t="s">
        <v>633</v>
      </c>
      <c r="Q317" s="67" t="s">
        <v>634</v>
      </c>
      <c r="R317" s="67" t="s">
        <v>635</v>
      </c>
      <c r="S317" t="s">
        <v>326</v>
      </c>
      <c r="W317" t="s">
        <v>419</v>
      </c>
      <c r="X317">
        <v>1</v>
      </c>
      <c r="AF317" s="259"/>
    </row>
    <row r="318" spans="1:32" ht="13" x14ac:dyDescent="0.3">
      <c r="A318" s="343">
        <v>1</v>
      </c>
      <c r="B318" s="110">
        <v>-1</v>
      </c>
      <c r="C318" s="70">
        <v>-1</v>
      </c>
      <c r="D318" s="110">
        <v>-1</v>
      </c>
      <c r="E318" s="70">
        <v>1</v>
      </c>
      <c r="F318" s="110">
        <v>1</v>
      </c>
      <c r="G318" s="70">
        <v>1</v>
      </c>
      <c r="H318" s="70">
        <v>-1</v>
      </c>
      <c r="K318" s="67">
        <v>1</v>
      </c>
      <c r="L318" s="70">
        <v>-1</v>
      </c>
      <c r="M318" s="70">
        <v>-1</v>
      </c>
      <c r="N318" s="70">
        <v>-1</v>
      </c>
      <c r="O318" s="70">
        <v>1</v>
      </c>
      <c r="P318" s="70">
        <v>1</v>
      </c>
      <c r="Q318" s="70">
        <v>1</v>
      </c>
      <c r="R318" s="70">
        <v>-1</v>
      </c>
      <c r="S318" s="16">
        <v>-35517.25</v>
      </c>
      <c r="W318" t="s">
        <v>421</v>
      </c>
      <c r="X318">
        <v>1</v>
      </c>
      <c r="AF318" s="259"/>
    </row>
    <row r="319" spans="1:32" ht="13" x14ac:dyDescent="0.3">
      <c r="A319" s="343">
        <v>2</v>
      </c>
      <c r="B319" s="110">
        <v>-1</v>
      </c>
      <c r="C319" s="70">
        <v>-1</v>
      </c>
      <c r="D319" s="110">
        <v>1</v>
      </c>
      <c r="E319" s="70">
        <v>1</v>
      </c>
      <c r="F319" s="110">
        <v>-1</v>
      </c>
      <c r="G319" s="70">
        <v>-1</v>
      </c>
      <c r="H319" s="70">
        <v>1</v>
      </c>
      <c r="K319" s="67">
        <v>2</v>
      </c>
      <c r="L319" s="70">
        <v>-1</v>
      </c>
      <c r="M319" s="70">
        <v>-1</v>
      </c>
      <c r="N319" s="70">
        <v>1</v>
      </c>
      <c r="O319" s="70">
        <v>1</v>
      </c>
      <c r="P319" s="70">
        <v>-1</v>
      </c>
      <c r="Q319" s="70">
        <v>-1</v>
      </c>
      <c r="R319" s="70">
        <v>1</v>
      </c>
      <c r="S319" s="16">
        <v>-59157.93</v>
      </c>
      <c r="W319" t="s">
        <v>423</v>
      </c>
      <c r="X319">
        <v>65535</v>
      </c>
      <c r="AF319" s="259"/>
    </row>
    <row r="320" spans="1:32" ht="13" x14ac:dyDescent="0.3">
      <c r="A320" s="343">
        <v>3</v>
      </c>
      <c r="B320" s="110">
        <v>-1</v>
      </c>
      <c r="C320" s="70">
        <v>1</v>
      </c>
      <c r="D320" s="110">
        <v>-1</v>
      </c>
      <c r="E320" s="70">
        <v>-1</v>
      </c>
      <c r="F320" s="110">
        <v>1</v>
      </c>
      <c r="G320" s="70">
        <v>-1</v>
      </c>
      <c r="H320" s="70">
        <v>1</v>
      </c>
      <c r="K320" s="67">
        <v>3</v>
      </c>
      <c r="L320" s="70">
        <v>-1</v>
      </c>
      <c r="M320" s="70">
        <v>1</v>
      </c>
      <c r="N320" s="70">
        <v>-1</v>
      </c>
      <c r="O320" s="70">
        <v>-1</v>
      </c>
      <c r="P320" s="70">
        <v>1</v>
      </c>
      <c r="Q320" s="70">
        <v>-1</v>
      </c>
      <c r="R320" s="70">
        <v>1</v>
      </c>
      <c r="S320" s="16">
        <v>-35519.71</v>
      </c>
      <c r="W320" t="s">
        <v>425</v>
      </c>
      <c r="X320">
        <v>0</v>
      </c>
      <c r="AF320" s="259"/>
    </row>
    <row r="321" spans="1:32" ht="13" x14ac:dyDescent="0.3">
      <c r="A321" s="343">
        <v>4</v>
      </c>
      <c r="B321" s="110">
        <v>-1</v>
      </c>
      <c r="C321" s="70">
        <v>1</v>
      </c>
      <c r="D321" s="110">
        <v>1</v>
      </c>
      <c r="E321" s="70">
        <v>-1</v>
      </c>
      <c r="F321" s="110">
        <v>-1</v>
      </c>
      <c r="G321" s="70">
        <v>1</v>
      </c>
      <c r="H321" s="70">
        <v>-1</v>
      </c>
      <c r="K321" s="67">
        <v>4</v>
      </c>
      <c r="L321" s="70">
        <v>-1</v>
      </c>
      <c r="M321" s="70">
        <v>1</v>
      </c>
      <c r="N321" s="70">
        <v>1</v>
      </c>
      <c r="O321" s="70">
        <v>-1</v>
      </c>
      <c r="P321" s="70">
        <v>-1</v>
      </c>
      <c r="Q321" s="70">
        <v>1</v>
      </c>
      <c r="R321" s="70">
        <v>-1</v>
      </c>
      <c r="S321" s="16">
        <v>-59149.85</v>
      </c>
      <c r="T321" s="25"/>
      <c r="U321" s="25"/>
      <c r="V321" s="25"/>
      <c r="W321" s="119" t="s">
        <v>216</v>
      </c>
      <c r="X321" s="119">
        <v>8</v>
      </c>
      <c r="AF321" s="259"/>
    </row>
    <row r="322" spans="1:32" ht="13" x14ac:dyDescent="0.3">
      <c r="A322" s="343">
        <v>5</v>
      </c>
      <c r="B322" s="110">
        <v>1</v>
      </c>
      <c r="C322" s="70">
        <v>-1</v>
      </c>
      <c r="D322" s="110">
        <v>-1</v>
      </c>
      <c r="E322" s="70">
        <v>-1</v>
      </c>
      <c r="F322" s="110">
        <v>-1</v>
      </c>
      <c r="G322" s="70">
        <v>1</v>
      </c>
      <c r="H322" s="70">
        <v>1</v>
      </c>
      <c r="K322" s="67">
        <v>5</v>
      </c>
      <c r="L322" s="70">
        <v>1</v>
      </c>
      <c r="M322" s="70">
        <v>-1</v>
      </c>
      <c r="N322" s="70">
        <v>-1</v>
      </c>
      <c r="O322" s="70">
        <v>-1</v>
      </c>
      <c r="P322" s="70">
        <v>-1</v>
      </c>
      <c r="Q322" s="70">
        <v>1</v>
      </c>
      <c r="R322" s="70">
        <v>1</v>
      </c>
      <c r="S322" s="16">
        <v>-216559.3</v>
      </c>
      <c r="AF322" s="259"/>
    </row>
    <row r="323" spans="1:32" ht="13" x14ac:dyDescent="0.3">
      <c r="A323" s="343">
        <v>6</v>
      </c>
      <c r="B323" s="110">
        <v>1</v>
      </c>
      <c r="C323" s="70">
        <v>-1</v>
      </c>
      <c r="D323" s="110">
        <v>1</v>
      </c>
      <c r="E323" s="70">
        <v>-1</v>
      </c>
      <c r="F323" s="110">
        <v>1</v>
      </c>
      <c r="G323" s="70">
        <v>-1</v>
      </c>
      <c r="H323" s="70">
        <v>-1</v>
      </c>
      <c r="K323" s="67">
        <v>6</v>
      </c>
      <c r="L323" s="70">
        <v>1</v>
      </c>
      <c r="M323" s="70">
        <v>-1</v>
      </c>
      <c r="N323" s="70">
        <v>1</v>
      </c>
      <c r="O323" s="70">
        <v>-1</v>
      </c>
      <c r="P323" s="70">
        <v>1</v>
      </c>
      <c r="Q323" s="70">
        <v>-1</v>
      </c>
      <c r="R323" s="70">
        <v>-1</v>
      </c>
      <c r="S323" s="16">
        <v>-126881.60000000001</v>
      </c>
      <c r="T323" s="25"/>
      <c r="U323" s="25"/>
      <c r="V323" s="25"/>
      <c r="W323" t="s">
        <v>428</v>
      </c>
      <c r="AF323" s="259"/>
    </row>
    <row r="324" spans="1:32" ht="13" x14ac:dyDescent="0.3">
      <c r="A324" s="343">
        <v>7</v>
      </c>
      <c r="B324" s="110">
        <v>1</v>
      </c>
      <c r="C324" s="70">
        <v>1</v>
      </c>
      <c r="D324" s="110">
        <v>-1</v>
      </c>
      <c r="E324" s="70">
        <v>1</v>
      </c>
      <c r="F324" s="110">
        <v>-1</v>
      </c>
      <c r="G324" s="70">
        <v>-1</v>
      </c>
      <c r="H324" s="70">
        <v>-1</v>
      </c>
      <c r="K324" s="67">
        <v>7</v>
      </c>
      <c r="L324" s="70">
        <v>1</v>
      </c>
      <c r="M324" s="70">
        <v>1</v>
      </c>
      <c r="N324" s="70">
        <v>-1</v>
      </c>
      <c r="O324" s="70">
        <v>1</v>
      </c>
      <c r="P324" s="70">
        <v>-1</v>
      </c>
      <c r="Q324" s="70">
        <v>-1</v>
      </c>
      <c r="R324" s="70">
        <v>-1</v>
      </c>
      <c r="S324" s="16">
        <v>-216557</v>
      </c>
      <c r="T324" s="25"/>
      <c r="U324" s="25"/>
      <c r="V324" s="25"/>
      <c r="W324" s="141"/>
      <c r="X324" s="141" t="s">
        <v>219</v>
      </c>
      <c r="Y324" s="141" t="s">
        <v>429</v>
      </c>
      <c r="Z324" s="141" t="s">
        <v>430</v>
      </c>
      <c r="AA324" s="141" t="s">
        <v>245</v>
      </c>
      <c r="AB324" s="141" t="s">
        <v>431</v>
      </c>
      <c r="AF324" s="259"/>
    </row>
    <row r="325" spans="1:32" ht="13" x14ac:dyDescent="0.3">
      <c r="A325" s="343">
        <v>8</v>
      </c>
      <c r="B325" s="110">
        <v>1</v>
      </c>
      <c r="C325" s="70">
        <v>1</v>
      </c>
      <c r="D325" s="110">
        <v>1</v>
      </c>
      <c r="E325" s="70">
        <v>1</v>
      </c>
      <c r="F325" s="110">
        <v>1</v>
      </c>
      <c r="G325" s="70">
        <v>1</v>
      </c>
      <c r="H325" s="70">
        <v>1</v>
      </c>
      <c r="K325" s="67">
        <v>8</v>
      </c>
      <c r="L325" s="70">
        <v>1</v>
      </c>
      <c r="M325" s="70">
        <v>1</v>
      </c>
      <c r="N325" s="70">
        <v>1</v>
      </c>
      <c r="O325" s="70">
        <v>1</v>
      </c>
      <c r="P325" s="70">
        <v>1</v>
      </c>
      <c r="Q325" s="70">
        <v>1</v>
      </c>
      <c r="R325" s="70">
        <v>1</v>
      </c>
      <c r="S325" s="16">
        <v>-126878.7</v>
      </c>
      <c r="W325" t="s">
        <v>383</v>
      </c>
      <c r="X325">
        <v>7</v>
      </c>
      <c r="Y325">
        <v>39543020296.769547</v>
      </c>
      <c r="Z325">
        <v>5649002899.5385065</v>
      </c>
      <c r="AA325" t="e">
        <f>#N/A</f>
        <v>#N/A</v>
      </c>
      <c r="AB325" t="e">
        <f>#N/A</f>
        <v>#N/A</v>
      </c>
      <c r="AF325" s="259"/>
    </row>
    <row r="326" spans="1:32" x14ac:dyDescent="0.25">
      <c r="A326" s="258"/>
      <c r="W326" t="s">
        <v>434</v>
      </c>
      <c r="X326">
        <v>0</v>
      </c>
      <c r="Y326">
        <v>0</v>
      </c>
      <c r="Z326">
        <v>65535</v>
      </c>
      <c r="AF326" s="259"/>
    </row>
    <row r="327" spans="1:32" x14ac:dyDescent="0.25">
      <c r="A327" s="258"/>
      <c r="L327">
        <f>SUM(L318:L326)</f>
        <v>0</v>
      </c>
      <c r="M327">
        <f t="shared" ref="M327:R327" si="3">SUM(M318:M326)</f>
        <v>0</v>
      </c>
      <c r="N327">
        <f t="shared" si="3"/>
        <v>0</v>
      </c>
      <c r="O327">
        <f t="shared" si="3"/>
        <v>0</v>
      </c>
      <c r="P327">
        <f t="shared" si="3"/>
        <v>0</v>
      </c>
      <c r="Q327">
        <f t="shared" si="3"/>
        <v>0</v>
      </c>
      <c r="R327">
        <f t="shared" si="3"/>
        <v>0</v>
      </c>
      <c r="W327" s="119" t="s">
        <v>436</v>
      </c>
      <c r="X327" s="119">
        <v>7</v>
      </c>
      <c r="Y327" s="119">
        <v>39543020296.769547</v>
      </c>
      <c r="Z327" s="119"/>
      <c r="AA327" s="119"/>
      <c r="AB327" s="119"/>
      <c r="AF327" s="259"/>
    </row>
    <row r="328" spans="1:32" ht="13" x14ac:dyDescent="0.3">
      <c r="A328" s="358" t="s">
        <v>554</v>
      </c>
      <c r="AF328" s="259"/>
    </row>
    <row r="329" spans="1:32" ht="13" x14ac:dyDescent="0.3">
      <c r="A329" s="258" t="s">
        <v>555</v>
      </c>
      <c r="J329" s="19" t="s">
        <v>662</v>
      </c>
      <c r="K329" s="19"/>
      <c r="L329" s="19"/>
      <c r="M329" s="19"/>
      <c r="N329" s="19"/>
      <c r="O329" s="19"/>
      <c r="P329" s="19"/>
      <c r="Q329" s="19"/>
      <c r="R329" s="19"/>
      <c r="S329" s="19"/>
      <c r="W329" s="141"/>
      <c r="X329" s="141" t="s">
        <v>438</v>
      </c>
      <c r="Y329" s="141" t="s">
        <v>425</v>
      </c>
      <c r="Z329" s="141" t="s">
        <v>439</v>
      </c>
      <c r="AA329" s="141" t="s">
        <v>440</v>
      </c>
      <c r="AB329" s="141" t="s">
        <v>441</v>
      </c>
      <c r="AC329" s="141" t="s">
        <v>442</v>
      </c>
      <c r="AD329" s="141" t="s">
        <v>566</v>
      </c>
      <c r="AE329" s="141" t="s">
        <v>567</v>
      </c>
      <c r="AF329" s="259"/>
    </row>
    <row r="330" spans="1:32" x14ac:dyDescent="0.25">
      <c r="A330" s="258" t="s">
        <v>556</v>
      </c>
      <c r="J330" s="19" t="s">
        <v>663</v>
      </c>
      <c r="K330" s="19"/>
      <c r="L330" s="19"/>
      <c r="M330" s="19"/>
      <c r="N330" s="19"/>
      <c r="O330" s="19"/>
      <c r="P330" s="19"/>
      <c r="Q330" s="19"/>
      <c r="R330" s="19"/>
      <c r="S330" s="19"/>
      <c r="W330" t="s">
        <v>445</v>
      </c>
      <c r="X330">
        <v>-109527.6675</v>
      </c>
      <c r="Y330">
        <v>0</v>
      </c>
      <c r="Z330">
        <v>65535</v>
      </c>
      <c r="AA330" t="e">
        <f>#N/A</f>
        <v>#N/A</v>
      </c>
      <c r="AB330">
        <v>-109527.6675</v>
      </c>
      <c r="AC330">
        <v>-109527.6675</v>
      </c>
      <c r="AD330">
        <v>-109527.6675</v>
      </c>
      <c r="AE330">
        <v>-109527.6675</v>
      </c>
      <c r="AF330" s="259"/>
    </row>
    <row r="331" spans="1:32" x14ac:dyDescent="0.25">
      <c r="A331" s="258" t="s">
        <v>557</v>
      </c>
      <c r="J331" s="19"/>
      <c r="K331" s="19"/>
      <c r="L331" s="19"/>
      <c r="M331" s="19"/>
      <c r="N331" s="19"/>
      <c r="O331" s="19"/>
      <c r="P331" s="19"/>
      <c r="Q331" s="19"/>
      <c r="R331" s="19"/>
      <c r="S331" s="19"/>
      <c r="W331" t="s">
        <v>529</v>
      </c>
      <c r="X331">
        <v>-62191.482499999976</v>
      </c>
      <c r="Y331">
        <v>0</v>
      </c>
      <c r="Z331">
        <v>65535</v>
      </c>
      <c r="AA331" t="e">
        <f>#N/A</f>
        <v>#N/A</v>
      </c>
      <c r="AB331">
        <v>-62191.482499999976</v>
      </c>
      <c r="AC331">
        <v>-62191.482499999976</v>
      </c>
      <c r="AD331">
        <v>-62191.482499999976</v>
      </c>
      <c r="AE331">
        <v>-62191.482499999976</v>
      </c>
      <c r="AF331" s="259"/>
    </row>
    <row r="332" spans="1:32" x14ac:dyDescent="0.25">
      <c r="A332" s="258" t="s">
        <v>558</v>
      </c>
      <c r="J332" s="19" t="s">
        <v>625</v>
      </c>
      <c r="K332" s="19"/>
      <c r="L332" s="19"/>
      <c r="M332" s="19"/>
      <c r="N332" s="19"/>
      <c r="O332" s="19"/>
      <c r="P332" s="19"/>
      <c r="Q332" s="19"/>
      <c r="R332" s="19"/>
      <c r="S332" s="19"/>
      <c r="W332" t="s">
        <v>532</v>
      </c>
      <c r="X332">
        <v>1.3525000000003664</v>
      </c>
      <c r="Y332">
        <v>0</v>
      </c>
      <c r="Z332">
        <v>65535</v>
      </c>
      <c r="AA332" t="e">
        <f>#N/A</f>
        <v>#N/A</v>
      </c>
      <c r="AB332">
        <v>1.3525000000003664</v>
      </c>
      <c r="AC332">
        <v>1.3525000000003664</v>
      </c>
      <c r="AD332">
        <v>1.3525000000003664</v>
      </c>
      <c r="AE332">
        <v>1.3525000000003664</v>
      </c>
      <c r="AF332" s="259"/>
    </row>
    <row r="333" spans="1:32" x14ac:dyDescent="0.25">
      <c r="A333" s="258" t="s">
        <v>559</v>
      </c>
      <c r="J333" s="19" t="s">
        <v>664</v>
      </c>
      <c r="K333" s="19"/>
      <c r="L333" s="19"/>
      <c r="M333" s="19"/>
      <c r="N333" s="19"/>
      <c r="O333" s="19"/>
      <c r="P333" s="19"/>
      <c r="Q333" s="19"/>
      <c r="R333" s="19"/>
      <c r="S333" s="19"/>
      <c r="W333" t="s">
        <v>534</v>
      </c>
      <c r="X333">
        <v>16510.647499999999</v>
      </c>
      <c r="Y333">
        <v>0</v>
      </c>
      <c r="Z333">
        <v>65535</v>
      </c>
      <c r="AA333" t="e">
        <f>#N/A</f>
        <v>#N/A</v>
      </c>
      <c r="AB333">
        <v>16510.647499999999</v>
      </c>
      <c r="AC333">
        <v>16510.647499999999</v>
      </c>
      <c r="AD333">
        <v>16510.647499999999</v>
      </c>
      <c r="AE333">
        <v>16510.647499999999</v>
      </c>
      <c r="AF333" s="259"/>
    </row>
    <row r="334" spans="1:32" x14ac:dyDescent="0.25">
      <c r="A334" s="258" t="s">
        <v>560</v>
      </c>
      <c r="J334" s="19"/>
      <c r="K334" s="19"/>
      <c r="L334" s="19"/>
      <c r="M334" s="19"/>
      <c r="N334" s="19"/>
      <c r="O334" s="19"/>
      <c r="P334" s="19"/>
      <c r="Q334" s="19"/>
      <c r="R334" s="19"/>
      <c r="S334" s="19"/>
      <c r="W334" t="s">
        <v>544</v>
      </c>
      <c r="X334">
        <v>-5.2500000002637721E-2</v>
      </c>
      <c r="Y334">
        <v>0</v>
      </c>
      <c r="Z334">
        <v>65535</v>
      </c>
      <c r="AA334" t="e">
        <f>#N/A</f>
        <v>#N/A</v>
      </c>
      <c r="AB334">
        <v>-5.2500000002637721E-2</v>
      </c>
      <c r="AC334">
        <v>-5.2500000002637721E-2</v>
      </c>
      <c r="AD334">
        <v>-5.2500000002637721E-2</v>
      </c>
      <c r="AE334">
        <v>-5.2500000002637721E-2</v>
      </c>
      <c r="AF334" s="259"/>
    </row>
    <row r="335" spans="1:32" x14ac:dyDescent="0.25">
      <c r="A335" s="258" t="s">
        <v>561</v>
      </c>
      <c r="J335" s="19" t="s">
        <v>665</v>
      </c>
      <c r="K335" s="19"/>
      <c r="L335" s="19"/>
      <c r="M335" s="19"/>
      <c r="N335" s="19"/>
      <c r="O335" s="19"/>
      <c r="P335" s="19"/>
      <c r="Q335" s="19"/>
      <c r="R335" s="19"/>
      <c r="S335" s="19"/>
      <c r="W335" t="s">
        <v>633</v>
      </c>
      <c r="X335">
        <v>28328.35249999999</v>
      </c>
      <c r="Y335">
        <v>0</v>
      </c>
      <c r="Z335">
        <v>65535</v>
      </c>
      <c r="AA335" t="e">
        <f>#N/A</f>
        <v>#N/A</v>
      </c>
      <c r="AB335">
        <v>28328.35249999999</v>
      </c>
      <c r="AC335">
        <v>28328.35249999999</v>
      </c>
      <c r="AD335">
        <v>28328.35249999999</v>
      </c>
      <c r="AE335">
        <v>28328.35249999999</v>
      </c>
      <c r="AF335" s="259"/>
    </row>
    <row r="336" spans="1:32" x14ac:dyDescent="0.25">
      <c r="A336" s="258"/>
      <c r="J336" s="19" t="s">
        <v>666</v>
      </c>
      <c r="K336" s="19"/>
      <c r="L336" s="19"/>
      <c r="M336" s="19"/>
      <c r="N336" s="19"/>
      <c r="O336" s="19"/>
      <c r="P336" s="19"/>
      <c r="Q336" s="19"/>
      <c r="R336" s="19"/>
      <c r="S336" s="19"/>
      <c r="W336" t="s">
        <v>634</v>
      </c>
      <c r="X336">
        <v>1.3925000000049106</v>
      </c>
      <c r="Y336">
        <v>0</v>
      </c>
      <c r="Z336">
        <v>65535</v>
      </c>
      <c r="AA336" t="e">
        <f>#N/A</f>
        <v>#N/A</v>
      </c>
      <c r="AB336">
        <v>1.3925000000049106</v>
      </c>
      <c r="AC336">
        <v>1.3925000000049106</v>
      </c>
      <c r="AD336">
        <v>1.3925000000049106</v>
      </c>
      <c r="AE336">
        <v>1.3925000000049106</v>
      </c>
      <c r="AF336" s="259"/>
    </row>
    <row r="337" spans="1:32" x14ac:dyDescent="0.25">
      <c r="A337" s="258"/>
      <c r="J337" s="19"/>
      <c r="K337" s="19"/>
      <c r="L337" s="19"/>
      <c r="M337" s="19"/>
      <c r="N337" s="19"/>
      <c r="O337" s="19"/>
      <c r="P337" s="19"/>
      <c r="Q337" s="19"/>
      <c r="R337" s="19"/>
      <c r="S337" s="19"/>
      <c r="W337" s="119" t="s">
        <v>635</v>
      </c>
      <c r="X337" s="119">
        <v>-1.242499999989011</v>
      </c>
      <c r="Y337" s="119">
        <v>0</v>
      </c>
      <c r="Z337" s="119">
        <v>65535</v>
      </c>
      <c r="AA337" s="119" t="e">
        <f>#N/A</f>
        <v>#N/A</v>
      </c>
      <c r="AB337" s="119">
        <v>-1.242499999989011</v>
      </c>
      <c r="AC337" s="119">
        <v>-1.242499999989011</v>
      </c>
      <c r="AD337" s="119">
        <v>-1.242499999989011</v>
      </c>
      <c r="AE337" s="119">
        <v>-1.242499999989011</v>
      </c>
      <c r="AF337" s="259"/>
    </row>
    <row r="338" spans="1:32" x14ac:dyDescent="0.25">
      <c r="A338" s="258"/>
      <c r="J338" s="19" t="s">
        <v>667</v>
      </c>
      <c r="K338" s="19"/>
      <c r="L338" s="19"/>
      <c r="M338" s="19"/>
      <c r="N338" s="19"/>
      <c r="O338" s="19"/>
      <c r="P338" s="19"/>
      <c r="Q338" s="19"/>
      <c r="R338" s="19"/>
      <c r="S338" s="19"/>
      <c r="AF338" s="259"/>
    </row>
    <row r="339" spans="1:32" x14ac:dyDescent="0.25">
      <c r="A339" s="258"/>
      <c r="J339" s="19"/>
      <c r="K339" s="19"/>
      <c r="L339" s="19"/>
      <c r="M339" s="19"/>
      <c r="N339" s="19"/>
      <c r="O339" s="19"/>
      <c r="P339" s="19"/>
      <c r="Q339" s="19"/>
      <c r="R339" s="19"/>
      <c r="S339" s="19"/>
      <c r="AF339" s="259"/>
    </row>
    <row r="340" spans="1:32" x14ac:dyDescent="0.25">
      <c r="A340" s="258"/>
      <c r="J340" s="19" t="s">
        <v>668</v>
      </c>
      <c r="K340" s="19"/>
      <c r="L340" s="19"/>
      <c r="M340" s="19"/>
      <c r="N340" s="19"/>
      <c r="O340" s="19"/>
      <c r="P340" s="19"/>
      <c r="Q340" s="19"/>
      <c r="R340" s="19"/>
      <c r="S340" s="19"/>
      <c r="AF340" s="259"/>
    </row>
    <row r="341" spans="1:32" x14ac:dyDescent="0.25">
      <c r="A341" s="258"/>
      <c r="J341" s="19"/>
      <c r="K341" s="19"/>
      <c r="L341" s="19"/>
      <c r="M341" s="19"/>
      <c r="N341" s="19"/>
      <c r="O341" s="19"/>
      <c r="P341" s="19"/>
      <c r="Q341" s="19"/>
      <c r="R341" s="19"/>
      <c r="S341" s="19"/>
      <c r="AF341" s="259"/>
    </row>
    <row r="342" spans="1:32" x14ac:dyDescent="0.25">
      <c r="A342" s="258"/>
      <c r="J342" s="359" t="s">
        <v>669</v>
      </c>
      <c r="K342" s="19"/>
      <c r="L342" s="19"/>
      <c r="M342" s="19"/>
      <c r="N342" s="19"/>
      <c r="O342" s="19"/>
      <c r="P342" s="19"/>
      <c r="Q342" s="19"/>
      <c r="R342" s="19"/>
      <c r="S342" s="19"/>
      <c r="AF342" s="259"/>
    </row>
    <row r="343" spans="1:32" x14ac:dyDescent="0.25">
      <c r="A343" s="258"/>
      <c r="J343" s="19"/>
      <c r="K343" s="19"/>
      <c r="L343" s="19"/>
      <c r="M343" s="19"/>
      <c r="N343" s="19"/>
      <c r="O343" s="19"/>
      <c r="P343" s="19"/>
      <c r="Q343" s="19"/>
      <c r="R343" s="19"/>
      <c r="S343" s="19"/>
      <c r="AF343" s="259"/>
    </row>
    <row r="344" spans="1:32" x14ac:dyDescent="0.25">
      <c r="A344" s="258"/>
      <c r="J344" s="19" t="s">
        <v>670</v>
      </c>
      <c r="K344" s="19"/>
      <c r="L344" s="19"/>
      <c r="M344" s="19"/>
      <c r="N344" s="19"/>
      <c r="O344" s="19"/>
      <c r="P344" s="19"/>
      <c r="Q344" s="19"/>
      <c r="R344" s="19"/>
      <c r="S344" s="19"/>
      <c r="AF344" s="259"/>
    </row>
    <row r="345" spans="1:32" x14ac:dyDescent="0.25">
      <c r="A345" s="258"/>
      <c r="J345" s="19" t="s">
        <v>671</v>
      </c>
      <c r="K345" s="19"/>
      <c r="L345" s="19"/>
      <c r="M345" s="19"/>
      <c r="N345" s="19"/>
      <c r="O345" s="19"/>
      <c r="P345" s="19"/>
      <c r="Q345" s="19"/>
      <c r="R345" s="19"/>
      <c r="S345" s="19"/>
      <c r="AF345" s="259"/>
    </row>
    <row r="346" spans="1:32" x14ac:dyDescent="0.25">
      <c r="A346" s="258"/>
      <c r="AF346" s="259"/>
    </row>
    <row r="347" spans="1:32" x14ac:dyDescent="0.25">
      <c r="A347" s="99"/>
      <c r="B347" s="119"/>
      <c r="C347" s="119"/>
      <c r="D347" s="119"/>
      <c r="E347" s="119"/>
      <c r="F347" s="119"/>
      <c r="G347" s="119"/>
      <c r="H347" s="119"/>
      <c r="I347" s="119"/>
      <c r="J347" s="119"/>
      <c r="K347" s="119"/>
      <c r="L347" s="119"/>
      <c r="M347" s="119"/>
      <c r="N347" s="119"/>
      <c r="O347" s="119"/>
      <c r="P347" s="119"/>
      <c r="Q347" s="119"/>
      <c r="R347" s="119"/>
      <c r="S347" s="119"/>
      <c r="T347" s="119"/>
      <c r="U347" s="119"/>
      <c r="V347" s="119"/>
      <c r="W347" s="119"/>
      <c r="X347" s="119"/>
      <c r="Y347" s="119"/>
      <c r="Z347" s="119"/>
      <c r="AA347" s="119"/>
      <c r="AB347" s="119"/>
      <c r="AC347" s="119"/>
      <c r="AD347" s="119"/>
      <c r="AE347" s="119"/>
      <c r="AF347" s="264"/>
    </row>
    <row r="348" spans="1:32" ht="13" x14ac:dyDescent="0.3">
      <c r="A348" s="255"/>
      <c r="B348" s="256"/>
      <c r="C348" s="256"/>
      <c r="D348" s="256"/>
      <c r="E348" s="256"/>
      <c r="F348" s="256"/>
      <c r="G348" s="256"/>
      <c r="H348" s="256"/>
      <c r="I348" s="424" t="s">
        <v>672</v>
      </c>
      <c r="J348" s="424"/>
      <c r="K348" s="424"/>
      <c r="L348" s="424"/>
      <c r="M348" s="424"/>
      <c r="N348" s="424"/>
      <c r="O348" s="424"/>
      <c r="P348" s="424"/>
      <c r="Q348" s="256"/>
      <c r="R348" s="256"/>
      <c r="S348" s="256"/>
      <c r="T348" s="257"/>
    </row>
    <row r="349" spans="1:32" x14ac:dyDescent="0.25">
      <c r="A349" s="258"/>
      <c r="T349" s="259"/>
    </row>
    <row r="350" spans="1:32" x14ac:dyDescent="0.25">
      <c r="A350" s="258"/>
      <c r="T350" s="259"/>
    </row>
    <row r="351" spans="1:32" x14ac:dyDescent="0.25">
      <c r="A351" s="425" t="s">
        <v>641</v>
      </c>
      <c r="B351" s="425"/>
      <c r="C351" s="425"/>
      <c r="D351" s="425"/>
      <c r="E351" s="425"/>
      <c r="F351" s="425"/>
      <c r="G351" s="425"/>
      <c r="H351" s="425"/>
      <c r="K351" s="426" t="s">
        <v>673</v>
      </c>
      <c r="L351" s="426"/>
      <c r="M351" s="426"/>
      <c r="N351" s="426"/>
      <c r="O351" s="426"/>
      <c r="P351" s="426"/>
      <c r="Q351" s="426"/>
      <c r="R351" s="426"/>
      <c r="T351" s="259"/>
    </row>
    <row r="352" spans="1:32" ht="13" x14ac:dyDescent="0.3">
      <c r="A352" s="357"/>
      <c r="B352" s="422" t="s">
        <v>551</v>
      </c>
      <c r="C352" s="422"/>
      <c r="D352" s="422"/>
      <c r="E352" s="422"/>
      <c r="F352" s="422"/>
      <c r="G352" s="422"/>
      <c r="H352" s="422"/>
      <c r="K352" s="332"/>
      <c r="L352" s="422" t="s">
        <v>551</v>
      </c>
      <c r="M352" s="422"/>
      <c r="N352" s="422"/>
      <c r="O352" s="422"/>
      <c r="P352" s="422"/>
      <c r="Q352" s="422"/>
      <c r="R352" s="422"/>
      <c r="T352" s="259"/>
    </row>
    <row r="353" spans="1:20" ht="13" x14ac:dyDescent="0.3">
      <c r="A353" s="342" t="s">
        <v>552</v>
      </c>
      <c r="B353" s="67">
        <v>1</v>
      </c>
      <c r="C353" s="67">
        <v>2</v>
      </c>
      <c r="D353" s="67">
        <v>3</v>
      </c>
      <c r="E353" s="11" t="s">
        <v>533</v>
      </c>
      <c r="F353" s="11" t="s">
        <v>534</v>
      </c>
      <c r="G353" s="11" t="s">
        <v>245</v>
      </c>
      <c r="H353" s="67" t="s">
        <v>563</v>
      </c>
      <c r="K353" s="77" t="s">
        <v>552</v>
      </c>
      <c r="L353" s="67" t="s">
        <v>533</v>
      </c>
      <c r="M353" s="67" t="s">
        <v>534</v>
      </c>
      <c r="N353" s="67" t="s">
        <v>245</v>
      </c>
      <c r="O353" s="67" t="s">
        <v>674</v>
      </c>
      <c r="P353" s="67" t="s">
        <v>675</v>
      </c>
      <c r="Q353" s="67" t="s">
        <v>676</v>
      </c>
      <c r="R353" s="67" t="s">
        <v>677</v>
      </c>
      <c r="T353" s="259"/>
    </row>
    <row r="354" spans="1:20" ht="13" x14ac:dyDescent="0.3">
      <c r="A354" s="343">
        <v>1</v>
      </c>
      <c r="B354" s="70">
        <v>-1</v>
      </c>
      <c r="C354" s="70">
        <v>-1</v>
      </c>
      <c r="D354" s="70">
        <v>-1</v>
      </c>
      <c r="E354" s="110">
        <v>1</v>
      </c>
      <c r="F354" s="110">
        <v>1</v>
      </c>
      <c r="G354" s="110">
        <v>1</v>
      </c>
      <c r="H354" s="29">
        <v>-1</v>
      </c>
      <c r="K354" s="338">
        <v>1</v>
      </c>
      <c r="L354" s="110">
        <v>-1</v>
      </c>
      <c r="M354" s="110">
        <v>-1</v>
      </c>
      <c r="N354" s="110">
        <v>-1</v>
      </c>
      <c r="O354" s="70">
        <v>1</v>
      </c>
      <c r="P354" s="70">
        <v>1</v>
      </c>
      <c r="Q354" s="70">
        <v>1</v>
      </c>
      <c r="R354" s="70">
        <v>-1</v>
      </c>
      <c r="S354" t="s">
        <v>678</v>
      </c>
      <c r="T354" s="259"/>
    </row>
    <row r="355" spans="1:20" ht="13" x14ac:dyDescent="0.3">
      <c r="A355" s="343">
        <v>2</v>
      </c>
      <c r="B355" s="70">
        <v>-1</v>
      </c>
      <c r="C355" s="70">
        <v>-1</v>
      </c>
      <c r="D355" s="70">
        <v>1</v>
      </c>
      <c r="E355" s="110">
        <v>1</v>
      </c>
      <c r="F355" s="110">
        <v>-1</v>
      </c>
      <c r="G355" s="110">
        <v>-1</v>
      </c>
      <c r="H355" s="29">
        <v>1</v>
      </c>
      <c r="K355" s="67">
        <v>2</v>
      </c>
      <c r="L355" s="110">
        <v>-1</v>
      </c>
      <c r="M355" s="110">
        <v>-1</v>
      </c>
      <c r="N355" s="110">
        <v>1</v>
      </c>
      <c r="O355" s="70">
        <v>1</v>
      </c>
      <c r="P355" s="70">
        <v>-1</v>
      </c>
      <c r="Q355" s="70">
        <v>-1</v>
      </c>
      <c r="R355" s="70">
        <v>1</v>
      </c>
      <c r="S355" s="147">
        <v>4</v>
      </c>
      <c r="T355" s="259"/>
    </row>
    <row r="356" spans="1:20" ht="13" x14ac:dyDescent="0.3">
      <c r="A356" s="343">
        <v>3</v>
      </c>
      <c r="B356" s="70">
        <v>-1</v>
      </c>
      <c r="C356" s="70">
        <v>1</v>
      </c>
      <c r="D356" s="70">
        <v>-1</v>
      </c>
      <c r="E356" s="110">
        <v>-1</v>
      </c>
      <c r="F356" s="110">
        <v>1</v>
      </c>
      <c r="G356" s="110">
        <v>-1</v>
      </c>
      <c r="H356" s="29">
        <v>1</v>
      </c>
      <c r="K356" s="67">
        <v>3</v>
      </c>
      <c r="L356" s="110">
        <v>-1</v>
      </c>
      <c r="M356" s="110">
        <v>1</v>
      </c>
      <c r="N356" s="110">
        <v>-1</v>
      </c>
      <c r="O356" s="70">
        <v>-1</v>
      </c>
      <c r="P356" s="70">
        <v>1</v>
      </c>
      <c r="Q356" s="70">
        <v>-1</v>
      </c>
      <c r="R356" s="70">
        <v>1</v>
      </c>
      <c r="S356" s="147">
        <v>3</v>
      </c>
      <c r="T356" s="259"/>
    </row>
    <row r="357" spans="1:20" ht="13" x14ac:dyDescent="0.3">
      <c r="A357" s="343">
        <v>4</v>
      </c>
      <c r="B357" s="70">
        <v>-1</v>
      </c>
      <c r="C357" s="70">
        <v>1</v>
      </c>
      <c r="D357" s="70">
        <v>1</v>
      </c>
      <c r="E357" s="110">
        <v>-1</v>
      </c>
      <c r="F357" s="110">
        <v>-1</v>
      </c>
      <c r="G357" s="110">
        <v>1</v>
      </c>
      <c r="H357" s="29">
        <v>-1</v>
      </c>
      <c r="K357" s="338">
        <v>4</v>
      </c>
      <c r="L357" s="110">
        <v>-1</v>
      </c>
      <c r="M357" s="110">
        <v>1</v>
      </c>
      <c r="N357" s="110">
        <v>1</v>
      </c>
      <c r="O357" s="70">
        <v>-1</v>
      </c>
      <c r="P357" s="70">
        <v>-1</v>
      </c>
      <c r="Q357" s="70">
        <v>1</v>
      </c>
      <c r="R357" s="70">
        <v>-1</v>
      </c>
      <c r="S357" t="s">
        <v>678</v>
      </c>
      <c r="T357" s="259"/>
    </row>
    <row r="358" spans="1:20" ht="13" x14ac:dyDescent="0.3">
      <c r="A358" s="343">
        <v>5</v>
      </c>
      <c r="B358" s="70">
        <v>1</v>
      </c>
      <c r="C358" s="70">
        <v>-1</v>
      </c>
      <c r="D358" s="70">
        <v>-1</v>
      </c>
      <c r="E358" s="110">
        <v>-1</v>
      </c>
      <c r="F358" s="110">
        <v>-1</v>
      </c>
      <c r="G358" s="110">
        <v>1</v>
      </c>
      <c r="H358" s="29">
        <v>1</v>
      </c>
      <c r="K358" s="67">
        <v>5</v>
      </c>
      <c r="L358" s="110">
        <v>1</v>
      </c>
      <c r="M358" s="110">
        <v>-1</v>
      </c>
      <c r="N358" s="110">
        <v>-1</v>
      </c>
      <c r="O358" s="70">
        <v>-1</v>
      </c>
      <c r="P358" s="70">
        <v>-1</v>
      </c>
      <c r="Q358" s="70">
        <v>1</v>
      </c>
      <c r="R358" s="70">
        <v>1</v>
      </c>
      <c r="S358" s="147">
        <v>2</v>
      </c>
      <c r="T358" s="259"/>
    </row>
    <row r="359" spans="1:20" ht="13" x14ac:dyDescent="0.3">
      <c r="A359" s="343">
        <v>6</v>
      </c>
      <c r="B359" s="70">
        <v>1</v>
      </c>
      <c r="C359" s="70">
        <v>-1</v>
      </c>
      <c r="D359" s="70">
        <v>1</v>
      </c>
      <c r="E359" s="110">
        <v>-1</v>
      </c>
      <c r="F359" s="110">
        <v>1</v>
      </c>
      <c r="G359" s="110">
        <v>-1</v>
      </c>
      <c r="H359" s="29">
        <v>-1</v>
      </c>
      <c r="K359" s="338">
        <v>6</v>
      </c>
      <c r="L359" s="110">
        <v>1</v>
      </c>
      <c r="M359" s="110">
        <v>-1</v>
      </c>
      <c r="N359" s="110">
        <v>1</v>
      </c>
      <c r="O359" s="70">
        <v>-1</v>
      </c>
      <c r="P359" s="70">
        <v>1</v>
      </c>
      <c r="Q359" s="70">
        <v>-1</v>
      </c>
      <c r="R359" s="70">
        <v>-1</v>
      </c>
      <c r="S359" t="s">
        <v>678</v>
      </c>
      <c r="T359" s="259"/>
    </row>
    <row r="360" spans="1:20" ht="13" x14ac:dyDescent="0.3">
      <c r="A360" s="343">
        <v>7</v>
      </c>
      <c r="B360" s="70">
        <v>1</v>
      </c>
      <c r="C360" s="70">
        <v>1</v>
      </c>
      <c r="D360" s="70">
        <v>-1</v>
      </c>
      <c r="E360" s="110">
        <v>1</v>
      </c>
      <c r="F360" s="110">
        <v>-1</v>
      </c>
      <c r="G360" s="110">
        <v>-1</v>
      </c>
      <c r="H360" s="29">
        <v>-1</v>
      </c>
      <c r="K360" s="338">
        <v>7</v>
      </c>
      <c r="L360" s="110">
        <v>1</v>
      </c>
      <c r="M360" s="110">
        <v>1</v>
      </c>
      <c r="N360" s="110">
        <v>-1</v>
      </c>
      <c r="O360" s="70">
        <v>1</v>
      </c>
      <c r="P360" s="70">
        <v>-1</v>
      </c>
      <c r="Q360" s="70">
        <v>-1</v>
      </c>
      <c r="R360" s="70">
        <v>-1</v>
      </c>
      <c r="S360" t="s">
        <v>678</v>
      </c>
      <c r="T360" s="259"/>
    </row>
    <row r="361" spans="1:20" ht="13" x14ac:dyDescent="0.3">
      <c r="A361" s="343">
        <v>8</v>
      </c>
      <c r="B361" s="70">
        <v>1</v>
      </c>
      <c r="C361" s="70">
        <v>1</v>
      </c>
      <c r="D361" s="70">
        <v>1</v>
      </c>
      <c r="E361" s="110">
        <v>1</v>
      </c>
      <c r="F361" s="110">
        <v>1</v>
      </c>
      <c r="G361" s="110">
        <v>1</v>
      </c>
      <c r="H361" s="29">
        <v>1</v>
      </c>
      <c r="K361" s="67">
        <v>8</v>
      </c>
      <c r="L361" s="110">
        <v>1</v>
      </c>
      <c r="M361" s="110">
        <v>1</v>
      </c>
      <c r="N361" s="110">
        <v>1</v>
      </c>
      <c r="O361" s="70">
        <v>1</v>
      </c>
      <c r="P361" s="70">
        <v>1</v>
      </c>
      <c r="Q361" s="70">
        <v>1</v>
      </c>
      <c r="R361" s="70">
        <v>1</v>
      </c>
      <c r="S361" s="147">
        <v>8</v>
      </c>
      <c r="T361" s="259"/>
    </row>
    <row r="362" spans="1:20" x14ac:dyDescent="0.25">
      <c r="A362" s="258"/>
      <c r="T362" s="259"/>
    </row>
    <row r="363" spans="1:20" x14ac:dyDescent="0.25">
      <c r="A363" s="258"/>
      <c r="L363">
        <f>SUM(L354:L362)</f>
        <v>0</v>
      </c>
      <c r="M363">
        <f t="shared" ref="M363:R363" si="4">SUM(M354:M362)</f>
        <v>0</v>
      </c>
      <c r="N363">
        <f t="shared" si="4"/>
        <v>0</v>
      </c>
      <c r="O363">
        <f t="shared" si="4"/>
        <v>0</v>
      </c>
      <c r="P363">
        <f t="shared" si="4"/>
        <v>0</v>
      </c>
      <c r="Q363">
        <f t="shared" si="4"/>
        <v>0</v>
      </c>
      <c r="R363">
        <f t="shared" si="4"/>
        <v>0</v>
      </c>
      <c r="T363" s="259"/>
    </row>
    <row r="364" spans="1:20" ht="13" x14ac:dyDescent="0.3">
      <c r="A364" s="358" t="s">
        <v>554</v>
      </c>
      <c r="T364" s="259"/>
    </row>
    <row r="365" spans="1:20" x14ac:dyDescent="0.25">
      <c r="A365" s="258" t="s">
        <v>555</v>
      </c>
      <c r="J365" s="19" t="s">
        <v>679</v>
      </c>
      <c r="K365" s="19"/>
      <c r="L365" s="19"/>
      <c r="M365" s="19"/>
      <c r="N365" s="19"/>
      <c r="O365" s="19"/>
      <c r="P365" s="19"/>
      <c r="Q365" s="19"/>
      <c r="R365" s="19"/>
      <c r="T365" s="259"/>
    </row>
    <row r="366" spans="1:20" x14ac:dyDescent="0.25">
      <c r="A366" s="258" t="s">
        <v>556</v>
      </c>
      <c r="J366" s="19" t="s">
        <v>680</v>
      </c>
      <c r="K366" s="19"/>
      <c r="L366" s="19"/>
      <c r="M366" s="19"/>
      <c r="N366" s="19"/>
      <c r="O366" s="19"/>
      <c r="P366" s="19"/>
      <c r="Q366" s="19"/>
      <c r="R366" s="19"/>
      <c r="T366" s="259"/>
    </row>
    <row r="367" spans="1:20" x14ac:dyDescent="0.25">
      <c r="A367" s="258" t="s">
        <v>557</v>
      </c>
      <c r="J367" s="19"/>
      <c r="K367" s="19"/>
      <c r="L367" s="19"/>
      <c r="M367" s="19"/>
      <c r="N367" s="19"/>
      <c r="O367" s="19"/>
      <c r="P367" s="19"/>
      <c r="Q367" s="19"/>
      <c r="R367" s="19"/>
      <c r="T367" s="259"/>
    </row>
    <row r="368" spans="1:20" x14ac:dyDescent="0.25">
      <c r="A368" s="258" t="s">
        <v>558</v>
      </c>
      <c r="J368" s="19" t="s">
        <v>681</v>
      </c>
      <c r="K368" s="19"/>
      <c r="L368" s="19"/>
      <c r="M368" s="19"/>
      <c r="N368" s="19"/>
      <c r="O368" s="19"/>
      <c r="P368" s="19"/>
      <c r="Q368" s="19"/>
      <c r="R368" s="19"/>
      <c r="T368" s="259"/>
    </row>
    <row r="369" spans="1:25" x14ac:dyDescent="0.25">
      <c r="A369" s="258" t="s">
        <v>559</v>
      </c>
      <c r="J369" s="19"/>
      <c r="K369" s="19"/>
      <c r="L369" s="19"/>
      <c r="M369" s="19"/>
      <c r="N369" s="19"/>
      <c r="O369" s="19"/>
      <c r="P369" s="19"/>
      <c r="Q369" s="19"/>
      <c r="R369" s="19"/>
      <c r="T369" s="259"/>
    </row>
    <row r="370" spans="1:25" x14ac:dyDescent="0.25">
      <c r="A370" s="258" t="s">
        <v>560</v>
      </c>
      <c r="J370" s="19" t="s">
        <v>668</v>
      </c>
      <c r="K370" s="19"/>
      <c r="L370" s="19"/>
      <c r="M370" s="19"/>
      <c r="N370" s="19"/>
      <c r="O370" s="19"/>
      <c r="P370" s="19"/>
      <c r="Q370" s="19"/>
      <c r="R370" s="19"/>
      <c r="T370" s="259"/>
    </row>
    <row r="371" spans="1:25" x14ac:dyDescent="0.25">
      <c r="A371" s="258" t="s">
        <v>561</v>
      </c>
      <c r="J371" s="19"/>
      <c r="K371" s="19"/>
      <c r="L371" s="19"/>
      <c r="M371" s="19"/>
      <c r="N371" s="19"/>
      <c r="O371" s="19"/>
      <c r="P371" s="19"/>
      <c r="Q371" s="19"/>
      <c r="R371" s="19"/>
      <c r="T371" s="259"/>
    </row>
    <row r="372" spans="1:25" x14ac:dyDescent="0.25">
      <c r="A372" s="258"/>
      <c r="J372" s="359" t="s">
        <v>669</v>
      </c>
      <c r="K372" s="19"/>
      <c r="L372" s="19"/>
      <c r="M372" s="19"/>
      <c r="N372" s="19"/>
      <c r="O372" s="19"/>
      <c r="P372" s="19"/>
      <c r="Q372" s="19"/>
      <c r="R372" s="19"/>
      <c r="T372" s="259"/>
    </row>
    <row r="373" spans="1:25" x14ac:dyDescent="0.25">
      <c r="A373" s="258"/>
      <c r="T373" s="259"/>
    </row>
    <row r="374" spans="1:25" x14ac:dyDescent="0.25">
      <c r="A374" s="258"/>
      <c r="T374" s="259"/>
    </row>
    <row r="375" spans="1:25" x14ac:dyDescent="0.25">
      <c r="A375" s="99"/>
      <c r="B375" s="119"/>
      <c r="C375" s="119"/>
      <c r="D375" s="119"/>
      <c r="E375" s="119"/>
      <c r="F375" s="119"/>
      <c r="G375" s="119"/>
      <c r="H375" s="119"/>
      <c r="I375" s="119"/>
      <c r="J375" s="119"/>
      <c r="K375" s="119"/>
      <c r="L375" s="119"/>
      <c r="M375" s="119"/>
      <c r="N375" s="119"/>
      <c r="O375" s="119"/>
      <c r="P375" s="119"/>
      <c r="Q375" s="119"/>
      <c r="R375" s="119"/>
      <c r="S375" s="119"/>
      <c r="T375" s="264"/>
    </row>
    <row r="377" spans="1:25" ht="13" x14ac:dyDescent="0.3">
      <c r="A377" s="255"/>
      <c r="B377" s="256"/>
      <c r="C377" s="256"/>
      <c r="D377" s="256"/>
      <c r="E377" s="256"/>
      <c r="F377" s="256"/>
      <c r="G377" s="256"/>
      <c r="H377" s="256"/>
      <c r="I377" s="424" t="s">
        <v>682</v>
      </c>
      <c r="J377" s="424"/>
      <c r="K377" s="424"/>
      <c r="L377" s="424"/>
      <c r="M377" s="424"/>
      <c r="N377" s="424"/>
      <c r="O377" s="424"/>
      <c r="P377" s="424"/>
      <c r="Q377" s="256"/>
      <c r="R377" s="256"/>
      <c r="S377" s="256"/>
      <c r="T377" s="256"/>
      <c r="U377" s="256"/>
      <c r="V377" s="256"/>
      <c r="W377" s="256"/>
      <c r="X377" s="256"/>
      <c r="Y377" s="257"/>
    </row>
    <row r="378" spans="1:25" x14ac:dyDescent="0.25">
      <c r="A378" s="258"/>
      <c r="Y378" s="259"/>
    </row>
    <row r="379" spans="1:25" x14ac:dyDescent="0.25">
      <c r="A379" s="350" t="s">
        <v>529</v>
      </c>
      <c r="B379" t="s">
        <v>531</v>
      </c>
      <c r="C379" t="s">
        <v>532</v>
      </c>
      <c r="D379" t="s">
        <v>533</v>
      </c>
      <c r="E379" t="s">
        <v>534</v>
      </c>
      <c r="F379" s="129" t="s">
        <v>245</v>
      </c>
      <c r="G379" s="129" t="s">
        <v>610</v>
      </c>
      <c r="H379" t="s">
        <v>326</v>
      </c>
      <c r="J379" t="s">
        <v>415</v>
      </c>
      <c r="Y379" s="259"/>
    </row>
    <row r="380" spans="1:25" x14ac:dyDescent="0.25">
      <c r="A380" s="258">
        <v>-1</v>
      </c>
      <c r="B380">
        <v>-1</v>
      </c>
      <c r="C380">
        <v>-1</v>
      </c>
      <c r="D380">
        <v>1</v>
      </c>
      <c r="E380">
        <v>1</v>
      </c>
      <c r="F380" s="129">
        <v>1</v>
      </c>
      <c r="G380" s="129">
        <v>-1</v>
      </c>
      <c r="H380">
        <v>9711.75</v>
      </c>
      <c r="Y380" s="259"/>
    </row>
    <row r="381" spans="1:25" ht="13" x14ac:dyDescent="0.3">
      <c r="A381" s="258">
        <v>-1</v>
      </c>
      <c r="B381">
        <v>-1</v>
      </c>
      <c r="C381">
        <v>1</v>
      </c>
      <c r="D381">
        <v>1</v>
      </c>
      <c r="E381">
        <v>-1</v>
      </c>
      <c r="F381" s="129">
        <v>-1</v>
      </c>
      <c r="G381" s="129">
        <v>1</v>
      </c>
      <c r="H381">
        <v>79956.56</v>
      </c>
      <c r="P381" s="406" t="s">
        <v>417</v>
      </c>
      <c r="Q381" s="406"/>
      <c r="Y381" s="259"/>
    </row>
    <row r="382" spans="1:25" x14ac:dyDescent="0.25">
      <c r="A382" s="258">
        <v>-1</v>
      </c>
      <c r="B382">
        <v>1</v>
      </c>
      <c r="C382">
        <v>-1</v>
      </c>
      <c r="D382">
        <v>-1</v>
      </c>
      <c r="E382">
        <v>1</v>
      </c>
      <c r="F382" s="129">
        <v>-1</v>
      </c>
      <c r="G382" s="129">
        <v>1</v>
      </c>
      <c r="H382">
        <v>-40077.199999999997</v>
      </c>
      <c r="P382" t="s">
        <v>419</v>
      </c>
      <c r="Q382">
        <v>0.99999999423612396</v>
      </c>
      <c r="Y382" s="259"/>
    </row>
    <row r="383" spans="1:25" x14ac:dyDescent="0.25">
      <c r="A383" s="258">
        <v>-1</v>
      </c>
      <c r="B383">
        <v>1</v>
      </c>
      <c r="C383">
        <v>1</v>
      </c>
      <c r="D383">
        <v>-1</v>
      </c>
      <c r="E383">
        <v>-1</v>
      </c>
      <c r="F383" s="129">
        <v>1</v>
      </c>
      <c r="G383" s="129">
        <v>-1</v>
      </c>
      <c r="H383">
        <v>-369913.7</v>
      </c>
      <c r="P383" t="s">
        <v>421</v>
      </c>
      <c r="Q383">
        <v>0.99999998847224791</v>
      </c>
      <c r="Y383" s="259"/>
    </row>
    <row r="384" spans="1:25" x14ac:dyDescent="0.25">
      <c r="A384" s="258">
        <v>1</v>
      </c>
      <c r="B384">
        <v>-1</v>
      </c>
      <c r="C384">
        <v>-1</v>
      </c>
      <c r="D384">
        <v>-1</v>
      </c>
      <c r="E384">
        <v>-1</v>
      </c>
      <c r="F384" s="129">
        <v>1</v>
      </c>
      <c r="G384" s="129">
        <v>1</v>
      </c>
      <c r="H384">
        <v>9772.39</v>
      </c>
      <c r="P384" t="s">
        <v>423</v>
      </c>
      <c r="Q384">
        <v>0.99999994812511517</v>
      </c>
      <c r="Y384" s="259"/>
    </row>
    <row r="385" spans="1:25" x14ac:dyDescent="0.25">
      <c r="A385" s="258">
        <v>1</v>
      </c>
      <c r="B385">
        <v>-1</v>
      </c>
      <c r="C385">
        <v>1</v>
      </c>
      <c r="D385">
        <v>-1</v>
      </c>
      <c r="E385">
        <v>1</v>
      </c>
      <c r="F385" s="129">
        <v>-1</v>
      </c>
      <c r="G385" s="129">
        <v>-1</v>
      </c>
      <c r="H385">
        <v>79904.259999999995</v>
      </c>
      <c r="P385" t="s">
        <v>425</v>
      </c>
      <c r="Q385">
        <v>44.684824325479639</v>
      </c>
      <c r="Y385" s="259"/>
    </row>
    <row r="386" spans="1:25" x14ac:dyDescent="0.25">
      <c r="A386" s="258">
        <v>1</v>
      </c>
      <c r="B386">
        <v>1</v>
      </c>
      <c r="C386">
        <v>-1</v>
      </c>
      <c r="D386">
        <v>1</v>
      </c>
      <c r="E386">
        <v>-1</v>
      </c>
      <c r="F386" s="129">
        <v>-1</v>
      </c>
      <c r="G386" s="129">
        <v>-1</v>
      </c>
      <c r="H386">
        <v>-39953.300000000003</v>
      </c>
      <c r="P386" s="119" t="s">
        <v>216</v>
      </c>
      <c r="Q386" s="119">
        <v>10</v>
      </c>
      <c r="Y386" s="259"/>
    </row>
    <row r="387" spans="1:25" x14ac:dyDescent="0.25">
      <c r="A387" s="258">
        <v>1</v>
      </c>
      <c r="B387">
        <v>1</v>
      </c>
      <c r="C387">
        <v>1</v>
      </c>
      <c r="D387">
        <v>1</v>
      </c>
      <c r="E387">
        <v>1</v>
      </c>
      <c r="F387" s="129">
        <v>1</v>
      </c>
      <c r="G387" s="129">
        <v>1</v>
      </c>
      <c r="H387">
        <v>-369789.4</v>
      </c>
      <c r="Y387" s="259"/>
    </row>
    <row r="388" spans="1:25" x14ac:dyDescent="0.25">
      <c r="A388" s="258">
        <v>-1</v>
      </c>
      <c r="B388">
        <v>-1</v>
      </c>
      <c r="C388">
        <v>1</v>
      </c>
      <c r="D388">
        <v>1</v>
      </c>
      <c r="E388">
        <v>-1</v>
      </c>
      <c r="F388" s="129">
        <v>-1</v>
      </c>
      <c r="G388" s="129">
        <v>1</v>
      </c>
      <c r="H388">
        <v>79878.27</v>
      </c>
      <c r="P388" t="s">
        <v>428</v>
      </c>
      <c r="Y388" s="259"/>
    </row>
    <row r="389" spans="1:25" ht="13" x14ac:dyDescent="0.3">
      <c r="A389" s="258">
        <v>-1</v>
      </c>
      <c r="B389">
        <v>1</v>
      </c>
      <c r="C389">
        <v>1</v>
      </c>
      <c r="D389">
        <v>-1</v>
      </c>
      <c r="E389">
        <v>-1</v>
      </c>
      <c r="F389" s="129">
        <v>1</v>
      </c>
      <c r="G389" s="129">
        <v>-1</v>
      </c>
      <c r="H389">
        <v>-369956.8</v>
      </c>
      <c r="P389" s="141"/>
      <c r="Q389" s="141" t="s">
        <v>219</v>
      </c>
      <c r="R389" s="141" t="s">
        <v>429</v>
      </c>
      <c r="S389" s="141" t="s">
        <v>430</v>
      </c>
      <c r="T389" s="141" t="s">
        <v>245</v>
      </c>
      <c r="U389" s="141" t="s">
        <v>431</v>
      </c>
      <c r="Y389" s="259"/>
    </row>
    <row r="390" spans="1:25" x14ac:dyDescent="0.25">
      <c r="A390" s="258"/>
      <c r="P390" t="s">
        <v>383</v>
      </c>
      <c r="Q390">
        <v>7</v>
      </c>
      <c r="R390">
        <v>346422006334.52075</v>
      </c>
      <c r="S390">
        <v>49488858047.788681</v>
      </c>
      <c r="T390">
        <v>24784908.666174695</v>
      </c>
      <c r="U390">
        <v>4.0347131698198124E-8</v>
      </c>
      <c r="Y390" s="259"/>
    </row>
    <row r="391" spans="1:25" x14ac:dyDescent="0.25">
      <c r="A391" s="258">
        <v>1</v>
      </c>
      <c r="B391">
        <v>2</v>
      </c>
      <c r="C391">
        <v>3</v>
      </c>
      <c r="D391">
        <v>4</v>
      </c>
      <c r="E391">
        <v>5</v>
      </c>
      <c r="F391">
        <v>6</v>
      </c>
      <c r="G391">
        <v>7</v>
      </c>
      <c r="P391" t="s">
        <v>434</v>
      </c>
      <c r="Q391">
        <v>2</v>
      </c>
      <c r="R391">
        <v>3993.4670499979534</v>
      </c>
      <c r="S391">
        <v>1996.7335249989767</v>
      </c>
      <c r="Y391" s="259"/>
    </row>
    <row r="392" spans="1:25" x14ac:dyDescent="0.25">
      <c r="A392" s="258"/>
      <c r="P392" s="119" t="s">
        <v>436</v>
      </c>
      <c r="Q392" s="119">
        <v>9</v>
      </c>
      <c r="R392" s="119">
        <v>346422010327.98779</v>
      </c>
      <c r="S392" s="119"/>
      <c r="T392" s="119"/>
      <c r="U392" s="119"/>
      <c r="Y392" s="259"/>
    </row>
    <row r="393" spans="1:25" x14ac:dyDescent="0.25">
      <c r="A393" s="360" t="s">
        <v>683</v>
      </c>
      <c r="B393" s="19"/>
      <c r="C393" s="19"/>
      <c r="D393" s="19"/>
      <c r="E393" s="19"/>
      <c r="F393" s="19"/>
      <c r="G393" s="19"/>
      <c r="H393" s="19"/>
      <c r="Y393" s="259"/>
    </row>
    <row r="394" spans="1:25" ht="13" x14ac:dyDescent="0.3">
      <c r="A394" s="360" t="s">
        <v>684</v>
      </c>
      <c r="B394" s="19"/>
      <c r="C394" s="19"/>
      <c r="D394" s="19"/>
      <c r="E394" s="19"/>
      <c r="F394" s="19"/>
      <c r="G394" s="19"/>
      <c r="H394" s="19"/>
      <c r="P394" s="141"/>
      <c r="Q394" s="141" t="s">
        <v>438</v>
      </c>
      <c r="R394" s="141" t="s">
        <v>425</v>
      </c>
      <c r="S394" s="141" t="s">
        <v>439</v>
      </c>
      <c r="T394" s="141" t="s">
        <v>440</v>
      </c>
      <c r="U394" s="141" t="s">
        <v>441</v>
      </c>
      <c r="V394" s="141" t="s">
        <v>442</v>
      </c>
      <c r="W394" s="141" t="s">
        <v>566</v>
      </c>
      <c r="X394" s="141" t="s">
        <v>567</v>
      </c>
      <c r="Y394" s="259"/>
    </row>
    <row r="395" spans="1:25" x14ac:dyDescent="0.25">
      <c r="A395" s="360" t="s">
        <v>685</v>
      </c>
      <c r="B395" s="19"/>
      <c r="C395" s="19"/>
      <c r="D395" s="19"/>
      <c r="E395" s="19"/>
      <c r="F395" s="19"/>
      <c r="G395" s="19"/>
      <c r="H395" s="19"/>
      <c r="P395" t="s">
        <v>445</v>
      </c>
      <c r="Q395">
        <v>-80056.166874999995</v>
      </c>
      <c r="R395">
        <v>14.778116567978582</v>
      </c>
      <c r="S395">
        <v>-5417.2104074795807</v>
      </c>
      <c r="T395">
        <v>3.4075996852116335E-8</v>
      </c>
      <c r="U395">
        <v>-80119.751978588742</v>
      </c>
      <c r="V395">
        <v>-79992.581771411249</v>
      </c>
      <c r="W395">
        <v>-80119.751978588742</v>
      </c>
      <c r="X395">
        <v>-79992.581771411249</v>
      </c>
      <c r="Y395" s="259"/>
    </row>
    <row r="396" spans="1:25" x14ac:dyDescent="0.25">
      <c r="A396" s="360" t="s">
        <v>686</v>
      </c>
      <c r="B396" s="19"/>
      <c r="C396" s="19"/>
      <c r="D396" s="19"/>
      <c r="E396" s="19"/>
      <c r="F396" s="19"/>
      <c r="G396" s="19"/>
      <c r="H396" s="19"/>
      <c r="O396">
        <v>1</v>
      </c>
      <c r="P396" t="s">
        <v>529</v>
      </c>
      <c r="Q396">
        <v>39.654375000010965</v>
      </c>
      <c r="R396">
        <v>14.77811656797858</v>
      </c>
      <c r="S396">
        <v>2.6833172426000882</v>
      </c>
      <c r="T396" s="352">
        <v>0.11534570657213397</v>
      </c>
      <c r="U396">
        <v>-23.930728588729494</v>
      </c>
      <c r="V396">
        <v>103.23947858875142</v>
      </c>
      <c r="W396">
        <v>-23.930728588729494</v>
      </c>
      <c r="X396">
        <v>103.23947858875142</v>
      </c>
      <c r="Y396" s="259"/>
    </row>
    <row r="397" spans="1:25" x14ac:dyDescent="0.25">
      <c r="A397" s="360" t="s">
        <v>687</v>
      </c>
      <c r="B397" s="19"/>
      <c r="C397" s="19"/>
      <c r="D397" s="19"/>
      <c r="E397" s="19"/>
      <c r="F397" s="19"/>
      <c r="G397" s="19"/>
      <c r="H397" s="19"/>
      <c r="O397">
        <v>2</v>
      </c>
      <c r="P397" t="s">
        <v>531</v>
      </c>
      <c r="Q397">
        <v>-124882.62062500001</v>
      </c>
      <c r="R397">
        <v>14.77811656797858</v>
      </c>
      <c r="S397">
        <v>-8450.5099178603941</v>
      </c>
      <c r="T397" s="353">
        <v>1.4003421437839268E-8</v>
      </c>
      <c r="U397">
        <v>-124946.20572858876</v>
      </c>
      <c r="V397">
        <v>-124819.03552141126</v>
      </c>
      <c r="W397">
        <v>-124946.20572858876</v>
      </c>
      <c r="X397">
        <v>-124819.03552141126</v>
      </c>
      <c r="Y397" s="259"/>
    </row>
    <row r="398" spans="1:25" x14ac:dyDescent="0.25">
      <c r="A398" s="360" t="s">
        <v>688</v>
      </c>
      <c r="B398" s="19"/>
      <c r="C398" s="19"/>
      <c r="D398" s="19"/>
      <c r="E398" s="19"/>
      <c r="F398" s="19"/>
      <c r="G398" s="19"/>
      <c r="H398" s="19"/>
      <c r="O398">
        <v>3</v>
      </c>
      <c r="P398" t="s">
        <v>532</v>
      </c>
      <c r="Q398">
        <v>-64919.576874999999</v>
      </c>
      <c r="R398">
        <v>14.778116567978582</v>
      </c>
      <c r="S398">
        <v>-4392.9533629250564</v>
      </c>
      <c r="T398" s="353">
        <v>5.1818731907919356E-8</v>
      </c>
      <c r="U398">
        <v>-64983.161978588738</v>
      </c>
      <c r="V398">
        <v>-64855.99177141126</v>
      </c>
      <c r="W398">
        <v>-64983.161978588738</v>
      </c>
      <c r="X398">
        <v>-64855.99177141126</v>
      </c>
      <c r="Y398" s="259"/>
    </row>
    <row r="399" spans="1:25" x14ac:dyDescent="0.25">
      <c r="A399" s="360" t="s">
        <v>689</v>
      </c>
      <c r="B399" s="19"/>
      <c r="C399" s="19"/>
      <c r="D399" s="19"/>
      <c r="E399" s="19"/>
      <c r="F399" s="19"/>
      <c r="G399" s="19"/>
      <c r="H399" s="19"/>
      <c r="O399">
        <v>4</v>
      </c>
      <c r="P399" t="s">
        <v>533</v>
      </c>
      <c r="Q399">
        <v>27.783124999980377</v>
      </c>
      <c r="R399">
        <v>14.778116567978586</v>
      </c>
      <c r="S399">
        <v>1.8800179895847628</v>
      </c>
      <c r="T399" s="352">
        <v>0.2008577745252951</v>
      </c>
      <c r="U399">
        <v>-35.801978588760107</v>
      </c>
      <c r="V399">
        <v>91.368228588720868</v>
      </c>
      <c r="W399">
        <v>-35.801978588760107</v>
      </c>
      <c r="X399">
        <v>91.368228588720868</v>
      </c>
      <c r="Y399" s="259"/>
    </row>
    <row r="400" spans="1:25" x14ac:dyDescent="0.25">
      <c r="A400" s="360" t="s">
        <v>690</v>
      </c>
      <c r="B400" s="19"/>
      <c r="C400" s="19"/>
      <c r="D400" s="19"/>
      <c r="E400" s="19"/>
      <c r="F400" s="19"/>
      <c r="G400" s="19"/>
      <c r="H400" s="19"/>
      <c r="O400">
        <v>5</v>
      </c>
      <c r="P400" t="s">
        <v>534</v>
      </c>
      <c r="Q400">
        <v>-6.4806250000196703</v>
      </c>
      <c r="R400">
        <v>14.778116567978584</v>
      </c>
      <c r="S400">
        <v>-0.43852848028428559</v>
      </c>
      <c r="T400" s="352">
        <v>0.70382588731088247</v>
      </c>
      <c r="U400">
        <v>-70.065728588760152</v>
      </c>
      <c r="V400">
        <v>57.104478588720809</v>
      </c>
      <c r="W400">
        <v>-70.065728588760152</v>
      </c>
      <c r="X400">
        <v>57.104478588720809</v>
      </c>
      <c r="Y400" s="259"/>
    </row>
    <row r="401" spans="1:25" x14ac:dyDescent="0.25">
      <c r="A401" s="360" t="s">
        <v>691</v>
      </c>
      <c r="B401" s="19"/>
      <c r="C401" s="19"/>
      <c r="D401" s="19"/>
      <c r="E401" s="19"/>
      <c r="F401" s="19"/>
      <c r="G401" s="19"/>
      <c r="H401" s="19"/>
      <c r="O401">
        <v>6</v>
      </c>
      <c r="P401" t="s">
        <v>245</v>
      </c>
      <c r="Q401">
        <v>-100003.96062499996</v>
      </c>
      <c r="R401">
        <v>14.778116567978579</v>
      </c>
      <c r="S401">
        <v>-6767.0301668678057</v>
      </c>
      <c r="T401" s="353">
        <v>2.1837542371798835E-8</v>
      </c>
      <c r="U401">
        <v>-100067.54572858871</v>
      </c>
      <c r="V401">
        <v>-99940.375521411217</v>
      </c>
      <c r="W401">
        <v>-100067.54572858871</v>
      </c>
      <c r="X401">
        <v>-99940.375521411217</v>
      </c>
      <c r="Y401" s="259"/>
    </row>
    <row r="402" spans="1:25" x14ac:dyDescent="0.25">
      <c r="A402" s="360" t="s">
        <v>692</v>
      </c>
      <c r="B402" s="19"/>
      <c r="C402" s="19"/>
      <c r="D402" s="19"/>
      <c r="E402" s="19"/>
      <c r="F402" s="19"/>
      <c r="G402" s="19"/>
      <c r="H402" s="19"/>
      <c r="O402">
        <v>7</v>
      </c>
      <c r="P402" s="119" t="s">
        <v>610</v>
      </c>
      <c r="Q402" s="119">
        <v>11.968125000003834</v>
      </c>
      <c r="R402" s="119">
        <v>14.778116567978582</v>
      </c>
      <c r="S402" s="119">
        <v>0.8098545538567834</v>
      </c>
      <c r="T402" s="356">
        <v>0.50305985782234841</v>
      </c>
      <c r="U402" s="119">
        <v>-51.616978588736629</v>
      </c>
      <c r="V402" s="119">
        <v>75.553228588744304</v>
      </c>
      <c r="W402" s="119">
        <v>-51.616978588736629</v>
      </c>
      <c r="X402" s="119">
        <v>75.553228588744304</v>
      </c>
      <c r="Y402" s="259"/>
    </row>
    <row r="403" spans="1:25" x14ac:dyDescent="0.25">
      <c r="A403" s="360" t="s">
        <v>693</v>
      </c>
      <c r="B403" s="19"/>
      <c r="C403" s="19"/>
      <c r="D403" s="19"/>
      <c r="E403" s="19"/>
      <c r="F403" s="19"/>
      <c r="G403" s="19"/>
      <c r="H403" s="19"/>
      <c r="Y403" s="259"/>
    </row>
    <row r="404" spans="1:25" x14ac:dyDescent="0.25">
      <c r="A404" s="360" t="s">
        <v>694</v>
      </c>
      <c r="B404" s="19"/>
      <c r="C404" s="19"/>
      <c r="D404" s="19"/>
      <c r="E404" s="19"/>
      <c r="F404" s="19"/>
      <c r="G404" s="19"/>
      <c r="H404" s="19"/>
      <c r="P404" t="s">
        <v>415</v>
      </c>
      <c r="Y404" s="259"/>
    </row>
    <row r="405" spans="1:25" x14ac:dyDescent="0.25">
      <c r="A405" s="258"/>
      <c r="Y405" s="259"/>
    </row>
    <row r="406" spans="1:25" ht="13" x14ac:dyDescent="0.3">
      <c r="A406" s="258"/>
      <c r="P406" s="406" t="s">
        <v>417</v>
      </c>
      <c r="Q406" s="406"/>
      <c r="Y406" s="259"/>
    </row>
    <row r="407" spans="1:25" x14ac:dyDescent="0.25">
      <c r="A407" s="258"/>
      <c r="P407" t="s">
        <v>419</v>
      </c>
      <c r="Q407">
        <v>0.85472131094138537</v>
      </c>
      <c r="Y407" s="259"/>
    </row>
    <row r="408" spans="1:25" x14ac:dyDescent="0.25">
      <c r="A408" s="258"/>
      <c r="P408" t="s">
        <v>421</v>
      </c>
      <c r="Q408">
        <v>0.73054851937736032</v>
      </c>
      <c r="Y408" s="259"/>
    </row>
    <row r="409" spans="1:25" x14ac:dyDescent="0.25">
      <c r="A409" s="258"/>
      <c r="P409" t="s">
        <v>423</v>
      </c>
      <c r="Q409">
        <v>0.39373416859906074</v>
      </c>
      <c r="Y409" s="259"/>
    </row>
    <row r="410" spans="1:25" x14ac:dyDescent="0.25">
      <c r="A410" s="258"/>
      <c r="P410" t="s">
        <v>425</v>
      </c>
      <c r="Q410">
        <v>152761.18911813607</v>
      </c>
      <c r="Y410" s="259"/>
    </row>
    <row r="411" spans="1:25" x14ac:dyDescent="0.25">
      <c r="A411" s="258"/>
      <c r="P411" s="119" t="s">
        <v>216</v>
      </c>
      <c r="Q411" s="119">
        <v>10</v>
      </c>
      <c r="Y411" s="259"/>
    </row>
    <row r="412" spans="1:25" x14ac:dyDescent="0.25">
      <c r="A412" s="258"/>
      <c r="Y412" s="259"/>
    </row>
    <row r="413" spans="1:25" x14ac:dyDescent="0.25">
      <c r="A413" s="258"/>
      <c r="P413" t="s">
        <v>428</v>
      </c>
      <c r="Y413" s="259"/>
    </row>
    <row r="414" spans="1:25" ht="13" x14ac:dyDescent="0.3">
      <c r="A414" s="258"/>
      <c r="P414" s="141"/>
      <c r="Q414" s="141" t="s">
        <v>219</v>
      </c>
      <c r="R414" s="141" t="s">
        <v>429</v>
      </c>
      <c r="S414" s="141" t="s">
        <v>430</v>
      </c>
      <c r="T414" s="141" t="s">
        <v>245</v>
      </c>
      <c r="U414" s="141" t="s">
        <v>431</v>
      </c>
      <c r="Y414" s="259"/>
    </row>
    <row r="415" spans="1:25" x14ac:dyDescent="0.25">
      <c r="A415" s="258"/>
      <c r="P415" t="s">
        <v>383</v>
      </c>
      <c r="Q415">
        <v>5</v>
      </c>
      <c r="R415">
        <v>253078086724.84009</v>
      </c>
      <c r="S415">
        <v>50615617344.968018</v>
      </c>
      <c r="T415">
        <v>2.1689946336586678</v>
      </c>
      <c r="U415">
        <v>0.23654792925644155</v>
      </c>
      <c r="Y415" s="259"/>
    </row>
    <row r="416" spans="1:25" x14ac:dyDescent="0.25">
      <c r="A416" s="258"/>
      <c r="P416" t="s">
        <v>434</v>
      </c>
      <c r="Q416">
        <v>4</v>
      </c>
      <c r="R416">
        <v>93343923603.14772</v>
      </c>
      <c r="S416">
        <v>23335980900.78693</v>
      </c>
      <c r="Y416" s="259"/>
    </row>
    <row r="417" spans="1:25" x14ac:dyDescent="0.25">
      <c r="A417" s="258"/>
      <c r="P417" s="119" t="s">
        <v>436</v>
      </c>
      <c r="Q417" s="119">
        <v>9</v>
      </c>
      <c r="R417" s="119">
        <v>346422010327.98779</v>
      </c>
      <c r="S417" s="119"/>
      <c r="T417" s="119"/>
      <c r="U417" s="119"/>
      <c r="Y417" s="259"/>
    </row>
    <row r="418" spans="1:25" x14ac:dyDescent="0.25">
      <c r="A418" s="258"/>
      <c r="Y418" s="259"/>
    </row>
    <row r="419" spans="1:25" ht="13" x14ac:dyDescent="0.3">
      <c r="A419" s="258"/>
      <c r="P419" s="141"/>
      <c r="Q419" s="141" t="s">
        <v>438</v>
      </c>
      <c r="R419" s="141" t="s">
        <v>425</v>
      </c>
      <c r="S419" s="141" t="s">
        <v>439</v>
      </c>
      <c r="T419" s="141" t="s">
        <v>440</v>
      </c>
      <c r="U419" s="141" t="s">
        <v>441</v>
      </c>
      <c r="V419" s="141" t="s">
        <v>442</v>
      </c>
      <c r="W419" s="141" t="s">
        <v>566</v>
      </c>
      <c r="X419" s="141" t="s">
        <v>567</v>
      </c>
      <c r="Y419" s="259"/>
    </row>
    <row r="420" spans="1:25" x14ac:dyDescent="0.25">
      <c r="A420" s="258"/>
      <c r="P420" t="s">
        <v>445</v>
      </c>
      <c r="Q420">
        <v>-80056.166874999995</v>
      </c>
      <c r="R420">
        <v>50521.014548636791</v>
      </c>
      <c r="S420">
        <v>-1.5846112274314996</v>
      </c>
      <c r="T420">
        <v>0.18823161428284532</v>
      </c>
      <c r="U420">
        <v>-220324.99042040936</v>
      </c>
      <c r="V420">
        <v>60212.656670409371</v>
      </c>
      <c r="W420">
        <v>-220324.99042040936</v>
      </c>
      <c r="X420">
        <v>60212.656670409371</v>
      </c>
      <c r="Y420" s="259"/>
    </row>
    <row r="421" spans="1:25" x14ac:dyDescent="0.25">
      <c r="A421" s="258"/>
      <c r="O421">
        <v>1</v>
      </c>
      <c r="P421" t="s">
        <v>529</v>
      </c>
      <c r="Q421">
        <v>39.654375000020011</v>
      </c>
      <c r="R421">
        <v>50521.014548636776</v>
      </c>
      <c r="S421">
        <v>7.8490852478515821E-4</v>
      </c>
      <c r="T421" s="319">
        <v>0.99941131868216204</v>
      </c>
      <c r="U421">
        <v>-140229.16917040932</v>
      </c>
      <c r="V421">
        <v>140308.47792040935</v>
      </c>
      <c r="W421">
        <v>-140229.16917040932</v>
      </c>
      <c r="X421">
        <v>140308.47792040935</v>
      </c>
      <c r="Y421" s="259"/>
    </row>
    <row r="422" spans="1:25" x14ac:dyDescent="0.25">
      <c r="A422" s="258"/>
      <c r="O422">
        <v>2</v>
      </c>
      <c r="P422" t="s">
        <v>531</v>
      </c>
      <c r="Q422">
        <v>-141551.94208333333</v>
      </c>
      <c r="R422">
        <v>49303.461783448554</v>
      </c>
      <c r="S422">
        <v>-2.8710345473317878</v>
      </c>
      <c r="T422" s="318">
        <v>4.5421238306137708E-2</v>
      </c>
      <c r="U422">
        <v>-278440.29721370328</v>
      </c>
      <c r="V422">
        <v>-4663.5869529633783</v>
      </c>
      <c r="W422">
        <v>-278440.29721370328</v>
      </c>
      <c r="X422">
        <v>-4663.5869529633783</v>
      </c>
      <c r="Y422" s="259"/>
    </row>
    <row r="423" spans="1:25" x14ac:dyDescent="0.25">
      <c r="A423" s="258"/>
      <c r="O423">
        <v>3</v>
      </c>
      <c r="P423" t="s">
        <v>532</v>
      </c>
      <c r="Q423">
        <v>-64919.576874999984</v>
      </c>
      <c r="R423">
        <v>50521.014548636791</v>
      </c>
      <c r="S423">
        <v>-1.2850014485061783</v>
      </c>
      <c r="T423" s="318">
        <v>0.2681527005129104</v>
      </c>
      <c r="U423">
        <v>-205188.40042040934</v>
      </c>
      <c r="V423">
        <v>75349.246670409382</v>
      </c>
      <c r="W423">
        <v>-205188.40042040934</v>
      </c>
      <c r="X423">
        <v>75349.246670409382</v>
      </c>
      <c r="Y423" s="259"/>
    </row>
    <row r="424" spans="1:25" x14ac:dyDescent="0.25">
      <c r="A424" s="258"/>
      <c r="O424">
        <v>4</v>
      </c>
      <c r="P424" t="s">
        <v>533</v>
      </c>
      <c r="Q424">
        <v>16697.10458333333</v>
      </c>
      <c r="R424">
        <v>49303.461783448562</v>
      </c>
      <c r="S424">
        <v>0.33865988268066477</v>
      </c>
      <c r="T424" s="319">
        <v>0.75189673984365446</v>
      </c>
      <c r="U424">
        <v>-120191.25054703662</v>
      </c>
      <c r="V424">
        <v>153585.45971370328</v>
      </c>
      <c r="W424">
        <v>-120191.25054703662</v>
      </c>
      <c r="X424">
        <v>153585.45971370328</v>
      </c>
      <c r="Y424" s="259"/>
    </row>
    <row r="425" spans="1:25" x14ac:dyDescent="0.25">
      <c r="A425" s="258"/>
      <c r="O425">
        <v>5</v>
      </c>
      <c r="P425" s="119" t="s">
        <v>534</v>
      </c>
      <c r="Q425" s="119">
        <v>-6.4806250000282288</v>
      </c>
      <c r="R425" s="119">
        <v>50521.014548636798</v>
      </c>
      <c r="S425" s="119">
        <v>-1.2827582854238416E-4</v>
      </c>
      <c r="T425" s="320">
        <v>0.999903793128469</v>
      </c>
      <c r="U425" s="119">
        <v>-140275.30417040942</v>
      </c>
      <c r="V425" s="119">
        <v>140262.34292040937</v>
      </c>
      <c r="W425" s="119">
        <v>-140275.30417040942</v>
      </c>
      <c r="X425" s="119">
        <v>140262.34292040937</v>
      </c>
      <c r="Y425" s="259"/>
    </row>
    <row r="426" spans="1:25" x14ac:dyDescent="0.25">
      <c r="A426" s="258"/>
      <c r="Y426" s="259"/>
    </row>
    <row r="427" spans="1:25" x14ac:dyDescent="0.25">
      <c r="A427" s="99"/>
      <c r="B427" s="119"/>
      <c r="C427" s="119"/>
      <c r="D427" s="119"/>
      <c r="E427" s="119"/>
      <c r="F427" s="119"/>
      <c r="G427" s="119"/>
      <c r="H427" s="119"/>
      <c r="I427" s="119"/>
      <c r="J427" s="119"/>
      <c r="K427" s="119"/>
      <c r="L427" s="119"/>
      <c r="M427" s="119"/>
      <c r="N427" s="119"/>
      <c r="O427" s="119"/>
      <c r="P427" s="119"/>
      <c r="Q427" s="119"/>
      <c r="R427" s="119"/>
      <c r="S427" s="119"/>
      <c r="T427" s="119"/>
      <c r="U427" s="119"/>
      <c r="V427" s="119"/>
      <c r="W427" s="119"/>
      <c r="X427" s="119"/>
      <c r="Y427" s="264"/>
    </row>
  </sheetData>
  <mergeCells count="28">
    <mergeCell ref="P381:Q381"/>
    <mergeCell ref="P406:Q406"/>
    <mergeCell ref="W316:X316"/>
    <mergeCell ref="I348:P348"/>
    <mergeCell ref="A351:H351"/>
    <mergeCell ref="K351:R351"/>
    <mergeCell ref="B352:H352"/>
    <mergeCell ref="L352:R352"/>
    <mergeCell ref="I280:P280"/>
    <mergeCell ref="P284:Q284"/>
    <mergeCell ref="B316:H316"/>
    <mergeCell ref="L316:R316"/>
    <mergeCell ref="I377:P377"/>
    <mergeCell ref="B215:H215"/>
    <mergeCell ref="P218:Q218"/>
    <mergeCell ref="B229:J232"/>
    <mergeCell ref="I243:M243"/>
    <mergeCell ref="P246:Q246"/>
    <mergeCell ref="A127:G127"/>
    <mergeCell ref="P142:Q142"/>
    <mergeCell ref="B170:I170"/>
    <mergeCell ref="P188:Q188"/>
    <mergeCell ref="A214:I214"/>
    <mergeCell ref="B8:H8"/>
    <mergeCell ref="Y95:Z95"/>
    <mergeCell ref="P96:Q96"/>
    <mergeCell ref="A113:I113"/>
    <mergeCell ref="B114:H114"/>
  </mergeCells>
  <pageMargins left="0" right="0" top="0" bottom="0" header="0.51180555555555562" footer="0.51180555555555562"/>
  <pageSetup scale="90" firstPageNumber="0" orientation="landscape" horizontalDpi="300" verticalDpi="300"/>
  <headerFooter alignWithMargins="0"/>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H54"/>
  <sheetViews>
    <sheetView showGridLines="0" topLeftCell="A16" zoomScale="85" zoomScaleNormal="85" workbookViewId="0">
      <selection activeCell="E28" sqref="E28"/>
    </sheetView>
  </sheetViews>
  <sheetFormatPr defaultRowHeight="12.5" x14ac:dyDescent="0.25"/>
  <sheetData>
    <row r="1" spans="1:5" ht="18" x14ac:dyDescent="0.4">
      <c r="A1" s="381" t="s">
        <v>695</v>
      </c>
      <c r="B1" s="381"/>
      <c r="C1" s="381"/>
    </row>
    <row r="3" spans="1:5" x14ac:dyDescent="0.25">
      <c r="A3" t="s">
        <v>696</v>
      </c>
    </row>
    <row r="5" spans="1:5" x14ac:dyDescent="0.25">
      <c r="A5" t="s">
        <v>697</v>
      </c>
      <c r="D5" t="s">
        <v>698</v>
      </c>
    </row>
    <row r="10" spans="1:5" x14ac:dyDescent="0.25">
      <c r="A10" t="s">
        <v>699</v>
      </c>
      <c r="B10" t="s">
        <v>700</v>
      </c>
      <c r="C10" t="s">
        <v>122</v>
      </c>
      <c r="E10">
        <v>1705</v>
      </c>
    </row>
    <row r="11" spans="1:5" x14ac:dyDescent="0.25">
      <c r="A11">
        <v>1700</v>
      </c>
      <c r="B11">
        <v>58</v>
      </c>
      <c r="C11">
        <v>114</v>
      </c>
      <c r="E11">
        <v>58</v>
      </c>
    </row>
    <row r="12" spans="1:5" x14ac:dyDescent="0.25">
      <c r="A12">
        <v>1705</v>
      </c>
      <c r="B12">
        <v>58</v>
      </c>
      <c r="C12">
        <v>108</v>
      </c>
    </row>
    <row r="13" spans="1:5" x14ac:dyDescent="0.25">
      <c r="A13">
        <v>1700</v>
      </c>
      <c r="B13">
        <v>58.1</v>
      </c>
      <c r="C13">
        <v>130</v>
      </c>
    </row>
    <row r="23" spans="1:8" x14ac:dyDescent="0.25">
      <c r="E23">
        <v>1700</v>
      </c>
      <c r="H23">
        <v>1700</v>
      </c>
    </row>
    <row r="24" spans="1:8" x14ac:dyDescent="0.25">
      <c r="E24">
        <v>58</v>
      </c>
      <c r="H24">
        <v>58.1</v>
      </c>
    </row>
    <row r="27" spans="1:8" x14ac:dyDescent="0.25">
      <c r="A27" s="19" t="s">
        <v>701</v>
      </c>
      <c r="B27" s="19"/>
      <c r="C27" s="19"/>
    </row>
    <row r="28" spans="1:8" x14ac:dyDescent="0.25">
      <c r="A28" s="427" t="s">
        <v>702</v>
      </c>
      <c r="B28" s="427"/>
      <c r="D28" s="5"/>
      <c r="E28" s="5"/>
      <c r="F28" s="5"/>
      <c r="G28" s="5"/>
      <c r="H28" s="5"/>
    </row>
    <row r="29" spans="1:8" x14ac:dyDescent="0.25">
      <c r="A29" s="361" t="s">
        <v>532</v>
      </c>
      <c r="B29" s="361" t="s">
        <v>534</v>
      </c>
      <c r="C29" s="362" t="s">
        <v>326</v>
      </c>
      <c r="D29" s="5"/>
      <c r="E29" s="5"/>
      <c r="F29" s="5"/>
      <c r="G29" s="5"/>
      <c r="H29" s="5"/>
    </row>
    <row r="30" spans="1:8" x14ac:dyDescent="0.25">
      <c r="A30" s="363">
        <v>0</v>
      </c>
      <c r="B30" s="363">
        <v>0</v>
      </c>
      <c r="C30" s="364">
        <v>0</v>
      </c>
      <c r="D30" s="5"/>
      <c r="E30" s="5"/>
      <c r="F30" s="5"/>
      <c r="G30" s="5"/>
      <c r="H30" s="5"/>
    </row>
    <row r="31" spans="1:8" x14ac:dyDescent="0.25">
      <c r="A31" s="364">
        <v>0</v>
      </c>
      <c r="B31" s="364">
        <v>15</v>
      </c>
      <c r="C31" s="364">
        <v>0</v>
      </c>
      <c r="D31" s="5"/>
      <c r="E31" s="5"/>
      <c r="F31" s="5"/>
      <c r="G31" s="5"/>
      <c r="H31" s="5"/>
    </row>
    <row r="32" spans="1:8" x14ac:dyDescent="0.25">
      <c r="A32" s="364">
        <v>15</v>
      </c>
      <c r="B32" s="364">
        <v>0</v>
      </c>
      <c r="C32" s="364">
        <v>0</v>
      </c>
      <c r="D32" s="5"/>
      <c r="E32" s="5"/>
      <c r="F32" s="5"/>
      <c r="G32" s="5"/>
      <c r="H32" s="5"/>
    </row>
    <row r="33" spans="1:8" x14ac:dyDescent="0.25">
      <c r="A33" s="5" t="s">
        <v>703</v>
      </c>
      <c r="B33" s="5"/>
      <c r="C33" s="5"/>
      <c r="D33" s="5"/>
      <c r="E33" s="5"/>
      <c r="F33" s="5"/>
      <c r="G33" s="5"/>
      <c r="H33" s="5"/>
    </row>
    <row r="34" spans="1:8" x14ac:dyDescent="0.25">
      <c r="A34" s="5" t="s">
        <v>704</v>
      </c>
      <c r="B34" s="5"/>
      <c r="C34" s="5"/>
      <c r="D34" s="5"/>
      <c r="E34" s="5"/>
      <c r="F34" s="5"/>
      <c r="G34" s="5"/>
      <c r="H34" s="5"/>
    </row>
    <row r="35" spans="1:8" x14ac:dyDescent="0.25">
      <c r="A35" s="5" t="s">
        <v>705</v>
      </c>
      <c r="B35" s="5"/>
      <c r="C35" s="5"/>
      <c r="D35" s="5"/>
      <c r="E35" s="5"/>
      <c r="F35" s="5"/>
      <c r="G35" s="5"/>
      <c r="H35" s="5"/>
    </row>
    <row r="36" spans="1:8" x14ac:dyDescent="0.25">
      <c r="A36" s="5" t="s">
        <v>706</v>
      </c>
      <c r="B36" s="5"/>
      <c r="C36" s="5"/>
      <c r="D36" s="5"/>
      <c r="E36" s="5"/>
      <c r="F36" s="5"/>
      <c r="G36" s="5"/>
      <c r="H36" s="5"/>
    </row>
    <row r="37" spans="1:8" x14ac:dyDescent="0.25">
      <c r="A37" s="5" t="s">
        <v>707</v>
      </c>
      <c r="B37" s="5"/>
      <c r="C37" s="5"/>
      <c r="D37" s="5"/>
      <c r="E37" s="5"/>
      <c r="F37" s="5"/>
      <c r="G37" s="5"/>
      <c r="H37" s="5"/>
    </row>
    <row r="38" spans="1:8" x14ac:dyDescent="0.25">
      <c r="A38" s="5"/>
      <c r="B38" s="5"/>
      <c r="C38" s="5"/>
      <c r="D38" s="5"/>
      <c r="E38" s="5"/>
      <c r="F38" s="5"/>
      <c r="G38" s="5"/>
      <c r="H38" s="5"/>
    </row>
    <row r="39" spans="1:8" x14ac:dyDescent="0.25">
      <c r="A39" s="5" t="s">
        <v>708</v>
      </c>
      <c r="B39" s="5"/>
      <c r="C39" s="5"/>
      <c r="D39" s="5"/>
      <c r="E39" s="5"/>
      <c r="F39" s="5"/>
      <c r="G39" s="5"/>
      <c r="H39" s="5"/>
    </row>
    <row r="40" spans="1:8" x14ac:dyDescent="0.25">
      <c r="A40" s="5" t="s">
        <v>709</v>
      </c>
      <c r="B40" s="5"/>
      <c r="C40" s="5"/>
      <c r="D40" s="5"/>
      <c r="E40" s="5"/>
      <c r="F40" s="5"/>
      <c r="G40" s="5"/>
      <c r="H40" s="5"/>
    </row>
    <row r="41" spans="1:8" x14ac:dyDescent="0.25">
      <c r="A41" s="5" t="s">
        <v>710</v>
      </c>
      <c r="B41" s="5"/>
      <c r="C41" s="5"/>
      <c r="D41" s="5"/>
      <c r="E41" s="5"/>
      <c r="F41" s="5"/>
      <c r="G41" s="5"/>
      <c r="H41" s="5"/>
    </row>
    <row r="42" spans="1:8" x14ac:dyDescent="0.25">
      <c r="A42" s="5" t="s">
        <v>711</v>
      </c>
      <c r="B42" s="5"/>
      <c r="C42" s="5"/>
      <c r="D42" s="5"/>
      <c r="E42" s="5"/>
      <c r="F42" s="5"/>
      <c r="G42" s="5"/>
      <c r="H42" s="5"/>
    </row>
    <row r="43" spans="1:8" x14ac:dyDescent="0.25">
      <c r="A43" s="5" t="s">
        <v>712</v>
      </c>
      <c r="B43" s="5"/>
      <c r="C43" s="5"/>
      <c r="D43" s="5"/>
      <c r="E43" s="5"/>
      <c r="F43" s="5"/>
      <c r="G43" s="5"/>
      <c r="H43" s="5"/>
    </row>
    <row r="44" spans="1:8" x14ac:dyDescent="0.25">
      <c r="A44" s="5" t="s">
        <v>713</v>
      </c>
      <c r="B44" s="5"/>
      <c r="C44" s="5"/>
      <c r="D44" s="5"/>
      <c r="E44" s="5"/>
      <c r="F44" s="5"/>
      <c r="G44" s="5"/>
      <c r="H44" s="5"/>
    </row>
    <row r="45" spans="1:8" x14ac:dyDescent="0.25">
      <c r="A45" s="5" t="s">
        <v>714</v>
      </c>
      <c r="B45" s="5"/>
      <c r="C45" s="5"/>
      <c r="D45" s="5"/>
      <c r="E45" s="5"/>
      <c r="F45" s="5"/>
      <c r="G45" s="5"/>
      <c r="H45" s="5"/>
    </row>
    <row r="46" spans="1:8" x14ac:dyDescent="0.25">
      <c r="A46" s="5" t="s">
        <v>715</v>
      </c>
      <c r="B46" s="5"/>
      <c r="C46" s="5"/>
      <c r="D46" s="5"/>
      <c r="E46" s="5"/>
      <c r="F46" s="5"/>
      <c r="G46" s="5"/>
      <c r="H46" s="5"/>
    </row>
    <row r="47" spans="1:8" x14ac:dyDescent="0.25">
      <c r="A47" s="5" t="s">
        <v>716</v>
      </c>
      <c r="B47" s="5"/>
      <c r="C47" s="5"/>
      <c r="D47" s="5"/>
      <c r="E47" s="5"/>
      <c r="F47" s="5"/>
      <c r="G47" s="5"/>
      <c r="H47" s="5"/>
    </row>
    <row r="48" spans="1:8" x14ac:dyDescent="0.25">
      <c r="A48" s="5" t="s">
        <v>717</v>
      </c>
      <c r="B48" s="5"/>
      <c r="C48" s="5"/>
      <c r="D48" s="5"/>
      <c r="E48" s="5"/>
      <c r="F48" s="5"/>
      <c r="G48" s="5"/>
      <c r="H48" s="5"/>
    </row>
    <row r="49" spans="1:8" x14ac:dyDescent="0.25">
      <c r="A49" s="5" t="s">
        <v>718</v>
      </c>
      <c r="B49" s="5"/>
      <c r="C49" s="5"/>
      <c r="D49" s="5"/>
      <c r="E49" s="5"/>
      <c r="F49" s="5"/>
      <c r="G49" s="5"/>
      <c r="H49" s="5"/>
    </row>
    <row r="50" spans="1:8" x14ac:dyDescent="0.25">
      <c r="A50" s="5" t="s">
        <v>719</v>
      </c>
      <c r="B50" s="5"/>
      <c r="C50" s="5"/>
      <c r="D50" s="5"/>
      <c r="E50" s="5"/>
      <c r="F50" s="5"/>
      <c r="G50" s="5"/>
      <c r="H50" s="5"/>
    </row>
    <row r="51" spans="1:8" x14ac:dyDescent="0.25">
      <c r="A51" s="5" t="s">
        <v>720</v>
      </c>
      <c r="B51" s="5"/>
      <c r="C51" s="5"/>
      <c r="D51" s="5"/>
      <c r="E51" s="5"/>
      <c r="F51" s="5"/>
      <c r="G51" s="5"/>
      <c r="H51" s="5"/>
    </row>
    <row r="52" spans="1:8" x14ac:dyDescent="0.25">
      <c r="A52" s="5" t="s">
        <v>721</v>
      </c>
      <c r="B52" s="5"/>
      <c r="C52" s="5"/>
      <c r="D52" s="5"/>
      <c r="E52" s="5"/>
      <c r="F52" s="5"/>
      <c r="G52" s="5"/>
      <c r="H52" s="5"/>
    </row>
    <row r="53" spans="1:8" x14ac:dyDescent="0.25">
      <c r="A53" s="5"/>
      <c r="B53" s="5"/>
      <c r="C53" s="5"/>
      <c r="D53" s="5"/>
      <c r="E53" s="5"/>
      <c r="F53" s="5"/>
      <c r="G53" s="5"/>
      <c r="H53" s="5"/>
    </row>
    <row r="54" spans="1:8" x14ac:dyDescent="0.25">
      <c r="A54" s="5"/>
      <c r="B54" s="5"/>
      <c r="C54" s="5"/>
      <c r="D54" s="5"/>
      <c r="E54" s="5"/>
      <c r="F54" s="5"/>
      <c r="G54" s="5"/>
      <c r="H54" s="5"/>
    </row>
  </sheetData>
  <mergeCells count="2">
    <mergeCell ref="A1:C1"/>
    <mergeCell ref="A28:B28"/>
  </mergeCells>
  <pageMargins left="0.75" right="0.75" top="1" bottom="1" header="0.51180555555555562" footer="0.51180555555555562"/>
  <pageSetup firstPageNumber="0" orientation="portrait" horizontalDpi="300" verticalDpi="300"/>
  <headerFooter alignWithMargins="0"/>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R28"/>
  <sheetViews>
    <sheetView showGridLines="0" zoomScale="85" zoomScaleNormal="85" workbookViewId="0">
      <selection activeCell="H30" sqref="H30"/>
    </sheetView>
  </sheetViews>
  <sheetFormatPr defaultRowHeight="12.5" x14ac:dyDescent="0.25"/>
  <cols>
    <col min="1" max="7" width="4" customWidth="1"/>
    <col min="8" max="8" width="9.26953125" customWidth="1"/>
  </cols>
  <sheetData>
    <row r="1" spans="1:18" x14ac:dyDescent="0.25">
      <c r="A1" t="s">
        <v>529</v>
      </c>
      <c r="B1" t="s">
        <v>531</v>
      </c>
      <c r="C1" t="s">
        <v>532</v>
      </c>
      <c r="D1" t="s">
        <v>533</v>
      </c>
      <c r="E1" t="s">
        <v>534</v>
      </c>
      <c r="F1" t="s">
        <v>245</v>
      </c>
      <c r="G1" t="s">
        <v>610</v>
      </c>
      <c r="H1" t="s">
        <v>326</v>
      </c>
      <c r="J1" t="s">
        <v>415</v>
      </c>
    </row>
    <row r="2" spans="1:18" x14ac:dyDescent="0.25">
      <c r="A2">
        <v>0</v>
      </c>
      <c r="B2">
        <v>0</v>
      </c>
      <c r="C2">
        <v>0</v>
      </c>
      <c r="D2">
        <v>0</v>
      </c>
      <c r="E2">
        <v>0</v>
      </c>
      <c r="F2">
        <v>0</v>
      </c>
      <c r="G2">
        <v>0</v>
      </c>
      <c r="H2">
        <v>990.15</v>
      </c>
    </row>
    <row r="3" spans="1:18" ht="13" x14ac:dyDescent="0.3">
      <c r="A3">
        <v>0</v>
      </c>
      <c r="B3">
        <v>0</v>
      </c>
      <c r="C3">
        <v>0</v>
      </c>
      <c r="D3">
        <v>0</v>
      </c>
      <c r="E3">
        <v>0</v>
      </c>
      <c r="F3">
        <v>0</v>
      </c>
      <c r="G3">
        <v>0</v>
      </c>
      <c r="H3">
        <v>1025.33</v>
      </c>
      <c r="J3" s="406" t="s">
        <v>417</v>
      </c>
      <c r="K3" s="406"/>
    </row>
    <row r="4" spans="1:18" x14ac:dyDescent="0.25">
      <c r="A4">
        <v>200</v>
      </c>
      <c r="B4">
        <v>0</v>
      </c>
      <c r="C4">
        <v>0</v>
      </c>
      <c r="D4">
        <v>0</v>
      </c>
      <c r="E4">
        <v>0</v>
      </c>
      <c r="F4">
        <v>0</v>
      </c>
      <c r="G4">
        <v>0</v>
      </c>
      <c r="H4">
        <v>1199.82</v>
      </c>
      <c r="J4" t="s">
        <v>419</v>
      </c>
      <c r="K4">
        <v>0.99972706240499376</v>
      </c>
    </row>
    <row r="5" spans="1:18" x14ac:dyDescent="0.25">
      <c r="A5">
        <v>200</v>
      </c>
      <c r="B5">
        <v>200</v>
      </c>
      <c r="C5">
        <v>0</v>
      </c>
      <c r="D5">
        <v>0</v>
      </c>
      <c r="E5">
        <v>0</v>
      </c>
      <c r="F5">
        <v>0</v>
      </c>
      <c r="G5">
        <v>0</v>
      </c>
      <c r="H5">
        <v>1196.3800000000001</v>
      </c>
      <c r="J5" t="s">
        <v>421</v>
      </c>
      <c r="K5">
        <v>0.9994541993049183</v>
      </c>
    </row>
    <row r="6" spans="1:18" x14ac:dyDescent="0.25">
      <c r="A6">
        <v>200</v>
      </c>
      <c r="B6">
        <v>200</v>
      </c>
      <c r="C6">
        <v>200</v>
      </c>
      <c r="D6">
        <v>0</v>
      </c>
      <c r="E6">
        <v>0</v>
      </c>
      <c r="F6">
        <v>0</v>
      </c>
      <c r="G6">
        <v>0</v>
      </c>
      <c r="H6">
        <v>1198.0899999999999</v>
      </c>
      <c r="J6" t="s">
        <v>423</v>
      </c>
      <c r="K6">
        <v>0.99754389687213241</v>
      </c>
    </row>
    <row r="7" spans="1:18" x14ac:dyDescent="0.25">
      <c r="A7">
        <v>200</v>
      </c>
      <c r="B7">
        <v>200</v>
      </c>
      <c r="C7">
        <v>200</v>
      </c>
      <c r="D7">
        <v>200</v>
      </c>
      <c r="E7">
        <v>0</v>
      </c>
      <c r="F7">
        <v>0</v>
      </c>
      <c r="G7">
        <v>0</v>
      </c>
      <c r="H7">
        <v>200.97</v>
      </c>
      <c r="J7" t="s">
        <v>425</v>
      </c>
      <c r="K7">
        <v>24.584318680817649</v>
      </c>
    </row>
    <row r="8" spans="1:18" x14ac:dyDescent="0.25">
      <c r="A8">
        <v>200</v>
      </c>
      <c r="B8">
        <v>200</v>
      </c>
      <c r="C8">
        <v>200</v>
      </c>
      <c r="D8">
        <v>200</v>
      </c>
      <c r="E8">
        <v>200</v>
      </c>
      <c r="F8">
        <v>0</v>
      </c>
      <c r="G8">
        <v>0</v>
      </c>
      <c r="H8">
        <v>172.22</v>
      </c>
      <c r="J8" s="119" t="s">
        <v>216</v>
      </c>
      <c r="K8" s="119">
        <v>10</v>
      </c>
    </row>
    <row r="9" spans="1:18" x14ac:dyDescent="0.25">
      <c r="A9">
        <v>200</v>
      </c>
      <c r="B9">
        <v>200</v>
      </c>
      <c r="C9">
        <v>200</v>
      </c>
      <c r="D9">
        <v>200</v>
      </c>
      <c r="E9">
        <v>200</v>
      </c>
      <c r="F9">
        <v>200</v>
      </c>
      <c r="G9">
        <v>0</v>
      </c>
      <c r="H9">
        <v>188.7</v>
      </c>
    </row>
    <row r="10" spans="1:18" x14ac:dyDescent="0.25">
      <c r="A10">
        <v>200</v>
      </c>
      <c r="B10">
        <v>200</v>
      </c>
      <c r="C10">
        <v>200</v>
      </c>
      <c r="D10">
        <v>200</v>
      </c>
      <c r="E10">
        <v>200</v>
      </c>
      <c r="F10">
        <v>200</v>
      </c>
      <c r="G10">
        <v>200</v>
      </c>
      <c r="H10">
        <v>177.87</v>
      </c>
      <c r="J10" t="s">
        <v>428</v>
      </c>
    </row>
    <row r="11" spans="1:18" ht="13" x14ac:dyDescent="0.3">
      <c r="A11">
        <v>200</v>
      </c>
      <c r="B11">
        <v>200</v>
      </c>
      <c r="C11">
        <v>200</v>
      </c>
      <c r="D11">
        <v>200</v>
      </c>
      <c r="E11">
        <v>200</v>
      </c>
      <c r="F11">
        <v>200</v>
      </c>
      <c r="G11">
        <v>200</v>
      </c>
      <c r="H11">
        <v>212.22</v>
      </c>
      <c r="J11" s="141"/>
      <c r="K11" s="141" t="s">
        <v>219</v>
      </c>
      <c r="L11" s="141" t="s">
        <v>429</v>
      </c>
      <c r="M11" s="141" t="s">
        <v>430</v>
      </c>
      <c r="N11" s="141" t="s">
        <v>245</v>
      </c>
      <c r="O11" s="141" t="s">
        <v>431</v>
      </c>
    </row>
    <row r="12" spans="1:18" x14ac:dyDescent="0.25">
      <c r="J12" t="s">
        <v>383</v>
      </c>
      <c r="K12">
        <v>7</v>
      </c>
      <c r="L12">
        <v>2213477.7571999999</v>
      </c>
      <c r="M12">
        <v>316211.10817142855</v>
      </c>
      <c r="N12">
        <v>523.19160681137589</v>
      </c>
      <c r="O12">
        <v>1.908999482976624E-3</v>
      </c>
    </row>
    <row r="13" spans="1:18" x14ac:dyDescent="0.25">
      <c r="J13" t="s">
        <v>434</v>
      </c>
      <c r="K13">
        <v>2</v>
      </c>
      <c r="L13">
        <v>1208.7774499999991</v>
      </c>
      <c r="M13">
        <v>604.38872499999957</v>
      </c>
    </row>
    <row r="14" spans="1:18" x14ac:dyDescent="0.25">
      <c r="J14" s="119" t="s">
        <v>436</v>
      </c>
      <c r="K14" s="119">
        <v>9</v>
      </c>
      <c r="L14" s="119">
        <v>2214686.5346499998</v>
      </c>
      <c r="M14" s="119"/>
      <c r="N14" s="119"/>
      <c r="O14" s="119"/>
    </row>
    <row r="16" spans="1:18" ht="13" x14ac:dyDescent="0.3">
      <c r="J16" s="141"/>
      <c r="K16" s="141" t="s">
        <v>438</v>
      </c>
      <c r="L16" s="141" t="s">
        <v>425</v>
      </c>
      <c r="M16" s="141" t="s">
        <v>439</v>
      </c>
      <c r="N16" s="141" t="s">
        <v>440</v>
      </c>
      <c r="O16" s="141" t="s">
        <v>441</v>
      </c>
      <c r="P16" s="141" t="s">
        <v>442</v>
      </c>
      <c r="Q16" s="141" t="s">
        <v>566</v>
      </c>
      <c r="R16" s="141" t="s">
        <v>567</v>
      </c>
    </row>
    <row r="17" spans="1:18" x14ac:dyDescent="0.25">
      <c r="J17" t="s">
        <v>445</v>
      </c>
      <c r="K17">
        <v>1007.74</v>
      </c>
      <c r="L17">
        <v>17.383738450057269</v>
      </c>
      <c r="M17">
        <v>57.970269335056649</v>
      </c>
      <c r="N17">
        <v>2.9743739368804701E-4</v>
      </c>
      <c r="O17">
        <v>932.94381030817283</v>
      </c>
      <c r="P17">
        <v>1082.5361896918275</v>
      </c>
      <c r="Q17">
        <v>932.94381030817283</v>
      </c>
      <c r="R17">
        <v>1082.5361896918275</v>
      </c>
    </row>
    <row r="18" spans="1:18" x14ac:dyDescent="0.25">
      <c r="J18" t="s">
        <v>529</v>
      </c>
      <c r="K18">
        <v>0.96039999999999992</v>
      </c>
      <c r="L18">
        <v>0.15054759110493918</v>
      </c>
      <c r="M18">
        <v>6.3793780621209226</v>
      </c>
      <c r="N18" s="319">
        <v>2.370203626651711E-2</v>
      </c>
      <c r="O18">
        <v>0.31264599620597777</v>
      </c>
      <c r="P18">
        <v>1.6081540037940221</v>
      </c>
      <c r="Q18">
        <v>0.31264599620597777</v>
      </c>
      <c r="R18">
        <v>1.6081540037940221</v>
      </c>
    </row>
    <row r="19" spans="1:18" x14ac:dyDescent="0.25">
      <c r="J19" t="s">
        <v>531</v>
      </c>
      <c r="K19">
        <v>-1.7199999999999212E-2</v>
      </c>
      <c r="L19">
        <v>0.17383738450057279</v>
      </c>
      <c r="M19">
        <v>-9.8943044094997518E-2</v>
      </c>
      <c r="N19" s="319">
        <v>0.9302073068941451</v>
      </c>
      <c r="O19">
        <v>-0.76516189691827285</v>
      </c>
      <c r="P19">
        <v>0.73076189691827442</v>
      </c>
      <c r="Q19">
        <v>-0.76516189691827285</v>
      </c>
      <c r="R19">
        <v>0.73076189691827442</v>
      </c>
    </row>
    <row r="20" spans="1:18" x14ac:dyDescent="0.25">
      <c r="J20" t="s">
        <v>532</v>
      </c>
      <c r="K20">
        <v>8.5499999999991329E-3</v>
      </c>
      <c r="L20">
        <v>0.17383738450057279</v>
      </c>
      <c r="M20">
        <v>4.9183896919312894E-2</v>
      </c>
      <c r="N20" s="319">
        <v>0.96524274654718811</v>
      </c>
      <c r="O20">
        <v>-0.73941189691827447</v>
      </c>
      <c r="P20">
        <v>0.75651189691827281</v>
      </c>
      <c r="Q20">
        <v>-0.73941189691827447</v>
      </c>
      <c r="R20">
        <v>0.75651189691827281</v>
      </c>
    </row>
    <row r="21" spans="1:18" x14ac:dyDescent="0.25">
      <c r="J21" t="s">
        <v>533</v>
      </c>
      <c r="K21">
        <v>-4.9855999999999998</v>
      </c>
      <c r="L21">
        <v>0.17383738450057279</v>
      </c>
      <c r="M21">
        <v>-28.679676781397802</v>
      </c>
      <c r="N21" s="319">
        <v>1.2135575394255829E-3</v>
      </c>
      <c r="O21">
        <v>-5.7335618969182738</v>
      </c>
      <c r="P21">
        <v>-4.2376381030817258</v>
      </c>
      <c r="Q21">
        <v>-5.7335618969182738</v>
      </c>
      <c r="R21">
        <v>-4.2376381030817258</v>
      </c>
    </row>
    <row r="22" spans="1:18" x14ac:dyDescent="0.25">
      <c r="J22" t="s">
        <v>534</v>
      </c>
      <c r="K22">
        <v>-0.14374999999999999</v>
      </c>
      <c r="L22">
        <v>0.17383738450057279</v>
      </c>
      <c r="M22">
        <v>-0.82692224352654353</v>
      </c>
      <c r="N22" s="319">
        <v>0.49523461159867554</v>
      </c>
      <c r="O22">
        <v>-0.89171189691827368</v>
      </c>
      <c r="P22">
        <v>0.60421189691827359</v>
      </c>
      <c r="Q22">
        <v>-0.89171189691827368</v>
      </c>
      <c r="R22">
        <v>0.60421189691827359</v>
      </c>
    </row>
    <row r="23" spans="1:18" x14ac:dyDescent="0.25">
      <c r="J23" t="s">
        <v>245</v>
      </c>
      <c r="K23">
        <v>8.2399999999999821E-2</v>
      </c>
      <c r="L23">
        <v>0.17383738450057279</v>
      </c>
      <c r="M23">
        <v>0.47400621124582276</v>
      </c>
      <c r="N23" s="319">
        <v>0.6822027952326678</v>
      </c>
      <c r="O23">
        <v>-0.66556189691827383</v>
      </c>
      <c r="P23">
        <v>0.83036189691827345</v>
      </c>
      <c r="Q23">
        <v>-0.66556189691827383</v>
      </c>
      <c r="R23">
        <v>0.83036189691827345</v>
      </c>
    </row>
    <row r="24" spans="1:18" x14ac:dyDescent="0.25">
      <c r="J24" s="119" t="s">
        <v>610</v>
      </c>
      <c r="K24" s="119">
        <v>3.1725000000000066E-2</v>
      </c>
      <c r="L24" s="119">
        <v>0.15054759110493926</v>
      </c>
      <c r="M24" s="119">
        <v>0.21073070493626259</v>
      </c>
      <c r="N24" s="320">
        <v>0.85261811914287344</v>
      </c>
      <c r="O24" s="119">
        <v>-0.61602900379402248</v>
      </c>
      <c r="P24" s="119">
        <v>0.67947900379402271</v>
      </c>
      <c r="Q24" s="119">
        <v>-0.61602900379402248</v>
      </c>
      <c r="R24" s="119">
        <v>0.67947900379402271</v>
      </c>
    </row>
    <row r="27" spans="1:18" x14ac:dyDescent="0.25">
      <c r="A27" t="s">
        <v>722</v>
      </c>
    </row>
    <row r="28" spans="1:18" x14ac:dyDescent="0.25">
      <c r="A28" t="s">
        <v>723</v>
      </c>
    </row>
  </sheetData>
  <mergeCells count="1">
    <mergeCell ref="J3:K3"/>
  </mergeCells>
  <pageMargins left="0.75" right="0.75" top="1" bottom="1" header="0.51180555555555562" footer="0.51180555555555562"/>
  <pageSetup firstPageNumber="0" orientation="portrait" horizontalDpi="300" verticalDpi="300"/>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114"/>
  <sheetViews>
    <sheetView showGridLines="0" topLeftCell="A41" zoomScale="85" zoomScaleNormal="85" workbookViewId="0">
      <selection activeCell="A60" sqref="A60"/>
    </sheetView>
  </sheetViews>
  <sheetFormatPr defaultRowHeight="12.5" x14ac:dyDescent="0.25"/>
  <cols>
    <col min="1" max="1" width="47.453125" customWidth="1"/>
    <col min="2" max="2" width="10.453125" customWidth="1"/>
    <col min="3" max="3" width="11.08984375" customWidth="1"/>
    <col min="4" max="4" width="31" customWidth="1"/>
    <col min="5" max="5" width="11" customWidth="1"/>
    <col min="7" max="7" width="41.54296875" customWidth="1"/>
    <col min="8" max="8" width="17.08984375" customWidth="1"/>
    <col min="9" max="9" width="31.453125" customWidth="1"/>
    <col min="10" max="10" width="10.26953125" customWidth="1"/>
    <col min="14" max="14" width="16" customWidth="1"/>
    <col min="16" max="16" width="16" customWidth="1"/>
    <col min="18" max="18" width="16" customWidth="1"/>
  </cols>
  <sheetData>
    <row r="1" spans="1:7" x14ac:dyDescent="0.25">
      <c r="A1" s="1" t="s">
        <v>0</v>
      </c>
      <c r="G1" s="3"/>
    </row>
    <row r="2" spans="1:7" ht="13" x14ac:dyDescent="0.3">
      <c r="A2" s="2" t="s">
        <v>2</v>
      </c>
    </row>
    <row r="3" spans="1:7" ht="13" x14ac:dyDescent="0.3">
      <c r="A3" s="31"/>
    </row>
    <row r="4" spans="1:7" x14ac:dyDescent="0.25">
      <c r="A4" s="32"/>
    </row>
    <row r="5" spans="1:7" ht="18" x14ac:dyDescent="0.4">
      <c r="A5" s="33" t="s">
        <v>57</v>
      </c>
      <c r="B5" s="34"/>
      <c r="C5" s="34"/>
      <c r="D5" s="34"/>
      <c r="E5" s="34"/>
    </row>
    <row r="6" spans="1:7" x14ac:dyDescent="0.25">
      <c r="A6" s="7" t="s">
        <v>58</v>
      </c>
      <c r="B6" s="8">
        <v>1.1000000000000001</v>
      </c>
      <c r="D6" s="7" t="s">
        <v>59</v>
      </c>
      <c r="E6" s="8">
        <v>2.21</v>
      </c>
      <c r="G6" s="3"/>
    </row>
    <row r="7" spans="1:7" x14ac:dyDescent="0.25">
      <c r="A7" s="7" t="s">
        <v>60</v>
      </c>
      <c r="B7" s="8">
        <v>114.2</v>
      </c>
      <c r="D7" s="7" t="s">
        <v>61</v>
      </c>
      <c r="E7" s="8">
        <v>92.65</v>
      </c>
    </row>
    <row r="8" spans="1:7" x14ac:dyDescent="0.25">
      <c r="A8" s="7" t="s">
        <v>62</v>
      </c>
      <c r="B8" s="8">
        <v>151</v>
      </c>
      <c r="D8" s="35" t="s">
        <v>16</v>
      </c>
      <c r="E8" s="36">
        <v>0.33310000000000001</v>
      </c>
    </row>
    <row r="9" spans="1:7" ht="13" x14ac:dyDescent="0.3">
      <c r="A9" s="7" t="s">
        <v>63</v>
      </c>
      <c r="B9" s="8">
        <v>165.8</v>
      </c>
      <c r="C9" s="23"/>
      <c r="D9" s="10" t="s">
        <v>64</v>
      </c>
      <c r="E9" s="37">
        <f>E7*(-LN(E8))^(1/E6)</f>
        <v>96.705748843338483</v>
      </c>
    </row>
    <row r="10" spans="1:7" ht="13" x14ac:dyDescent="0.3">
      <c r="A10" s="10" t="s">
        <v>16</v>
      </c>
      <c r="B10" s="38">
        <f>EXP(-((B8/B7)^B6))</f>
        <v>0.25673872704652073</v>
      </c>
      <c r="C10" s="39">
        <f>B10</f>
        <v>0.25673872704652073</v>
      </c>
      <c r="G10" s="3"/>
    </row>
    <row r="11" spans="1:7" ht="13" x14ac:dyDescent="0.3">
      <c r="A11" s="10" t="s">
        <v>65</v>
      </c>
      <c r="B11" s="38">
        <f>1-EXP(-((B9/B7)^B6))</f>
        <v>0.77842399982923105</v>
      </c>
      <c r="C11" s="39">
        <f>B11</f>
        <v>0.77842399982923105</v>
      </c>
    </row>
    <row r="12" spans="1:7" ht="13" x14ac:dyDescent="0.3">
      <c r="A12" s="10" t="s">
        <v>66</v>
      </c>
      <c r="B12" s="38">
        <f>EXP(-((B8/B7)^B6))-EXP(-((B9/B7)^B6))</f>
        <v>3.5162726875751782E-2</v>
      </c>
      <c r="C12" s="40">
        <f>ABS(B12)</f>
        <v>3.5162726875751782E-2</v>
      </c>
      <c r="D12" s="3"/>
      <c r="G12" s="3"/>
    </row>
    <row r="13" spans="1:7" ht="13" x14ac:dyDescent="0.3">
      <c r="A13" s="14"/>
      <c r="B13" s="41"/>
    </row>
    <row r="14" spans="1:7" ht="13" x14ac:dyDescent="0.3">
      <c r="A14" s="14"/>
      <c r="B14" s="41"/>
    </row>
    <row r="16" spans="1:7" ht="18" x14ac:dyDescent="0.4">
      <c r="A16" s="33" t="s">
        <v>67</v>
      </c>
      <c r="B16" s="34"/>
      <c r="C16" s="34"/>
      <c r="D16" s="34"/>
      <c r="E16" s="34"/>
      <c r="F16" s="34"/>
    </row>
    <row r="17" spans="1:16" ht="18" x14ac:dyDescent="0.4">
      <c r="A17" s="35" t="s">
        <v>68</v>
      </c>
      <c r="B17" s="8">
        <v>191.13</v>
      </c>
      <c r="D17" s="35" t="s">
        <v>68</v>
      </c>
      <c r="E17" s="8">
        <v>191.13</v>
      </c>
      <c r="G17" s="35"/>
      <c r="H17" s="8"/>
      <c r="I17" s="8" t="s">
        <v>69</v>
      </c>
      <c r="J17" s="8">
        <v>191.13</v>
      </c>
      <c r="M17" s="42" t="s">
        <v>67</v>
      </c>
      <c r="O17" s="42"/>
    </row>
    <row r="18" spans="1:16" x14ac:dyDescent="0.25">
      <c r="A18" s="7" t="s">
        <v>70</v>
      </c>
      <c r="B18" s="8">
        <v>18.87</v>
      </c>
      <c r="D18" s="7" t="s">
        <v>70</v>
      </c>
      <c r="E18" s="8">
        <v>18.87</v>
      </c>
      <c r="G18" s="7"/>
      <c r="H18" s="8"/>
      <c r="I18" s="8" t="s">
        <v>70</v>
      </c>
      <c r="J18" s="8">
        <v>18.87</v>
      </c>
    </row>
    <row r="19" spans="1:16" ht="18" x14ac:dyDescent="0.4">
      <c r="A19" s="7" t="s">
        <v>71</v>
      </c>
      <c r="B19" s="8">
        <v>8</v>
      </c>
      <c r="D19" s="7" t="s">
        <v>72</v>
      </c>
      <c r="E19" s="8">
        <v>0.55859999999999999</v>
      </c>
      <c r="G19" s="7"/>
      <c r="H19" s="8"/>
      <c r="I19" s="8" t="s">
        <v>73</v>
      </c>
      <c r="J19" s="8">
        <v>1</v>
      </c>
      <c r="M19" s="378" t="s">
        <v>74</v>
      </c>
      <c r="N19" s="378"/>
      <c r="O19" s="378"/>
      <c r="P19" s="378"/>
    </row>
    <row r="20" spans="1:16" ht="13" x14ac:dyDescent="0.3">
      <c r="A20" s="7" t="s">
        <v>75</v>
      </c>
      <c r="B20" s="8">
        <v>375</v>
      </c>
      <c r="D20" s="10" t="s">
        <v>76</v>
      </c>
      <c r="E20" s="18">
        <f>NORMINV(E19,E17,E18)</f>
        <v>193.91182783885753</v>
      </c>
      <c r="G20" s="7"/>
      <c r="H20" s="43"/>
      <c r="I20" s="38" t="s">
        <v>77</v>
      </c>
      <c r="J20" s="44">
        <f>+J17</f>
        <v>191.13</v>
      </c>
      <c r="M20" s="16" t="s">
        <v>78</v>
      </c>
      <c r="N20" s="45">
        <v>390.38</v>
      </c>
      <c r="O20" s="16"/>
      <c r="P20" s="25"/>
    </row>
    <row r="21" spans="1:16" ht="13" x14ac:dyDescent="0.3">
      <c r="A21" s="10" t="s">
        <v>16</v>
      </c>
      <c r="B21" s="38">
        <f>1-NORMDIST(B19,B17,B18,1)</f>
        <v>1</v>
      </c>
      <c r="C21" s="23"/>
      <c r="D21" s="23"/>
      <c r="G21" s="10"/>
      <c r="H21" s="38"/>
      <c r="I21" s="38" t="s">
        <v>79</v>
      </c>
      <c r="J21" s="44">
        <f>+J18/(J19^0.5)</f>
        <v>18.87</v>
      </c>
      <c r="M21" s="16" t="s">
        <v>70</v>
      </c>
      <c r="N21" s="45">
        <v>35.51</v>
      </c>
      <c r="O21" s="16"/>
      <c r="P21" s="25"/>
    </row>
    <row r="22" spans="1:16" ht="13" x14ac:dyDescent="0.3">
      <c r="A22" s="10" t="s">
        <v>65</v>
      </c>
      <c r="B22" s="38">
        <f>NORMDIST(B20,B17,B18,1)</f>
        <v>1</v>
      </c>
      <c r="C22" s="23"/>
      <c r="D22" s="46" t="s">
        <v>80</v>
      </c>
      <c r="G22" s="10"/>
      <c r="H22" s="38"/>
      <c r="I22" s="8" t="s">
        <v>81</v>
      </c>
      <c r="J22" s="8">
        <v>55.86</v>
      </c>
      <c r="M22" s="16" t="s">
        <v>73</v>
      </c>
      <c r="N22" s="47">
        <v>1</v>
      </c>
      <c r="O22" s="16"/>
      <c r="P22" s="48"/>
    </row>
    <row r="23" spans="1:16" ht="13" x14ac:dyDescent="0.3">
      <c r="A23" s="10" t="s">
        <v>66</v>
      </c>
      <c r="B23" s="38">
        <f>NORMDIST(B20,B17,B18,1)-NORMDIST(B19,B17,B18,1)</f>
        <v>1</v>
      </c>
      <c r="C23" s="23"/>
      <c r="D23" s="46" t="s">
        <v>82</v>
      </c>
      <c r="E23" s="14"/>
      <c r="G23" s="14"/>
      <c r="H23" s="41"/>
      <c r="I23" s="38" t="s">
        <v>83</v>
      </c>
      <c r="J23" s="38">
        <f>NORMDIST(J22,J20,J21,1)</f>
        <v>3.7906024885341538E-13</v>
      </c>
      <c r="M23" s="16" t="s">
        <v>84</v>
      </c>
      <c r="N23" s="49">
        <f>+N20*N22</f>
        <v>390.38</v>
      </c>
      <c r="O23" s="16"/>
      <c r="P23" s="48"/>
    </row>
    <row r="24" spans="1:16" ht="13" x14ac:dyDescent="0.3">
      <c r="A24" s="14"/>
      <c r="B24" s="41"/>
      <c r="C24" s="23"/>
      <c r="D24" s="23"/>
      <c r="E24" s="14"/>
      <c r="G24" s="14"/>
      <c r="H24" s="41"/>
      <c r="I24" s="38" t="s">
        <v>85</v>
      </c>
      <c r="J24" s="50">
        <f>J23</f>
        <v>3.7906024885341538E-13</v>
      </c>
      <c r="M24" s="16" t="s">
        <v>86</v>
      </c>
      <c r="N24" s="49">
        <f>+((N21^2)*N22)^0.5</f>
        <v>35.51</v>
      </c>
      <c r="O24" s="16"/>
      <c r="P24" s="48"/>
    </row>
    <row r="25" spans="1:16" ht="13" x14ac:dyDescent="0.3">
      <c r="A25" s="14"/>
      <c r="B25" s="41"/>
      <c r="C25" s="23"/>
      <c r="D25" s="23"/>
      <c r="E25" s="14"/>
      <c r="I25" s="51" t="s">
        <v>87</v>
      </c>
      <c r="J25" s="50">
        <f>1-J24</f>
        <v>0.99999999999962097</v>
      </c>
      <c r="M25" s="16" t="s">
        <v>88</v>
      </c>
      <c r="N25" s="47">
        <v>356.2</v>
      </c>
      <c r="O25" s="16"/>
      <c r="P25" s="48"/>
    </row>
    <row r="26" spans="1:16" x14ac:dyDescent="0.25">
      <c r="A26" s="25"/>
      <c r="B26" s="52"/>
      <c r="M26" s="16" t="str">
        <f>"Probability of being greater than "&amp;N25&amp;"= "</f>
        <v xml:space="preserve">Probability of being greater than 356.2= </v>
      </c>
      <c r="N26" s="53">
        <f>1-NORMDIST(N25,N23,N24,1)</f>
        <v>0.83211223619616403</v>
      </c>
      <c r="O26" s="16"/>
      <c r="P26" s="54"/>
    </row>
    <row r="27" spans="1:16" ht="18" x14ac:dyDescent="0.4">
      <c r="A27" s="33" t="s">
        <v>89</v>
      </c>
      <c r="B27" s="34"/>
      <c r="C27" s="34"/>
      <c r="D27" s="34"/>
      <c r="E27" s="34"/>
      <c r="M27" s="16" t="str">
        <f>"Probability of being less than "&amp;N25&amp;"= "</f>
        <v xml:space="preserve">Probability of being less than 356.2= </v>
      </c>
      <c r="N27" s="55">
        <f>1-N26</f>
        <v>0.16788776380383597</v>
      </c>
      <c r="O27" s="16"/>
      <c r="P27" s="56"/>
    </row>
    <row r="28" spans="1:16" ht="17.5" x14ac:dyDescent="0.35">
      <c r="A28" s="35" t="s">
        <v>68</v>
      </c>
      <c r="B28" s="8">
        <v>438.97</v>
      </c>
      <c r="D28" s="35" t="s">
        <v>68</v>
      </c>
      <c r="E28" s="8">
        <v>137.07</v>
      </c>
      <c r="H28" s="57" t="s">
        <v>90</v>
      </c>
      <c r="N28" s="25"/>
      <c r="P28" s="25"/>
    </row>
    <row r="29" spans="1:16" ht="18" x14ac:dyDescent="0.4">
      <c r="A29" s="35" t="s">
        <v>91</v>
      </c>
      <c r="B29" s="8">
        <v>206.6</v>
      </c>
      <c r="D29" s="35" t="s">
        <v>16</v>
      </c>
      <c r="E29" s="58">
        <v>0.86729999999999996</v>
      </c>
      <c r="F29" t="s">
        <v>92</v>
      </c>
      <c r="M29" s="378" t="s">
        <v>93</v>
      </c>
      <c r="N29" s="378"/>
      <c r="O29" s="378"/>
      <c r="P29" s="378"/>
    </row>
    <row r="30" spans="1:16" ht="13" x14ac:dyDescent="0.3">
      <c r="A30" s="7" t="s">
        <v>94</v>
      </c>
      <c r="B30" s="8">
        <v>195.6</v>
      </c>
      <c r="D30" s="10" t="s">
        <v>64</v>
      </c>
      <c r="E30" s="11">
        <f>(-LN(E29))*E28</f>
        <v>19.514702680857024</v>
      </c>
      <c r="H30" s="16" t="s">
        <v>78</v>
      </c>
      <c r="I30" s="45">
        <v>93.95</v>
      </c>
      <c r="M30" s="16" t="s">
        <v>78</v>
      </c>
      <c r="N30" s="45">
        <v>191.13</v>
      </c>
      <c r="O30" s="16"/>
      <c r="P30" s="25"/>
    </row>
    <row r="31" spans="1:16" ht="13" x14ac:dyDescent="0.3">
      <c r="A31" s="10" t="s">
        <v>95</v>
      </c>
      <c r="B31" s="59">
        <f>EXP(-(B29/B28))</f>
        <v>0.62459789965236323</v>
      </c>
      <c r="H31" s="16" t="s">
        <v>96</v>
      </c>
      <c r="I31" s="45">
        <v>0.33300000000000002</v>
      </c>
      <c r="M31" s="16" t="s">
        <v>70</v>
      </c>
      <c r="N31" s="45">
        <v>18.87</v>
      </c>
      <c r="O31" s="16"/>
      <c r="P31" s="25"/>
    </row>
    <row r="32" spans="1:16" ht="13" x14ac:dyDescent="0.3">
      <c r="A32" s="10" t="s">
        <v>65</v>
      </c>
      <c r="B32" s="59">
        <f>1-EXP(-(B30/B28))</f>
        <v>0.35955276167661254</v>
      </c>
      <c r="H32" s="16" t="s">
        <v>88</v>
      </c>
      <c r="I32" s="60">
        <f>-LN(I31)*I30</f>
        <v>103.30862152670908</v>
      </c>
      <c r="M32" s="16" t="s">
        <v>73</v>
      </c>
      <c r="N32" s="47">
        <v>1</v>
      </c>
      <c r="O32" s="16"/>
      <c r="P32" s="48"/>
    </row>
    <row r="33" spans="1:16" ht="13" x14ac:dyDescent="0.3">
      <c r="A33" s="10" t="s">
        <v>66</v>
      </c>
      <c r="B33" s="59">
        <f>ABS(EXP(-(B29/B28))-EXP(-(B30/B28)))</f>
        <v>1.5849338671024227E-2</v>
      </c>
      <c r="H33" s="16"/>
      <c r="M33" s="16" t="s">
        <v>77</v>
      </c>
      <c r="N33" s="49">
        <f>+N30</f>
        <v>191.13</v>
      </c>
      <c r="O33" s="16"/>
      <c r="P33" s="48"/>
    </row>
    <row r="34" spans="1:16" ht="13" x14ac:dyDescent="0.3">
      <c r="A34" s="14"/>
      <c r="B34" s="61"/>
      <c r="H34" s="16" t="s">
        <v>78</v>
      </c>
      <c r="I34" s="45">
        <v>93.95</v>
      </c>
      <c r="M34" s="16" t="s">
        <v>79</v>
      </c>
      <c r="N34" s="49">
        <f>+N31/(N32^0.5)</f>
        <v>18.87</v>
      </c>
      <c r="O34" s="16"/>
      <c r="P34" s="48"/>
    </row>
    <row r="35" spans="1:16" x14ac:dyDescent="0.25">
      <c r="D35" s="3"/>
      <c r="H35" s="16" t="s">
        <v>97</v>
      </c>
      <c r="I35" s="45">
        <v>0.33300000000000002</v>
      </c>
      <c r="M35" s="16" t="s">
        <v>88</v>
      </c>
      <c r="N35" s="47">
        <v>55.86</v>
      </c>
      <c r="O35" s="16"/>
      <c r="P35" s="48"/>
    </row>
    <row r="36" spans="1:16" x14ac:dyDescent="0.25">
      <c r="A36" s="16"/>
      <c r="B36" s="25"/>
      <c r="H36" s="16" t="s">
        <v>88</v>
      </c>
      <c r="I36" s="60">
        <f>-LN((1-I35))*I34</f>
        <v>38.046483646598922</v>
      </c>
      <c r="M36" s="16" t="str">
        <f>"Probability of being greater than "&amp;N35&amp;"= "</f>
        <v xml:space="preserve">Probability of being greater than 55.86= </v>
      </c>
      <c r="N36" s="62">
        <f>1-NORMDIST(N35,N33,N34,1)</f>
        <v>0.99999999999962097</v>
      </c>
      <c r="O36" s="16"/>
      <c r="P36" s="63"/>
    </row>
    <row r="37" spans="1:16" x14ac:dyDescent="0.25">
      <c r="A37" s="16"/>
      <c r="B37" s="25"/>
      <c r="F37" s="3"/>
      <c r="G37" s="3"/>
      <c r="H37" s="16"/>
      <c r="M37" s="16" t="str">
        <f>"Probability of being less than "&amp;N35&amp;"= "</f>
        <v xml:space="preserve">Probability of being less than 55.86= </v>
      </c>
      <c r="N37" s="64">
        <f>1-N36</f>
        <v>3.7903014060702844E-13</v>
      </c>
      <c r="O37" s="16"/>
      <c r="P37" s="65"/>
    </row>
    <row r="38" spans="1:16" ht="18" x14ac:dyDescent="0.4">
      <c r="A38" s="66" t="s">
        <v>98</v>
      </c>
      <c r="B38" s="34"/>
      <c r="C38" s="34"/>
      <c r="H38" s="16" t="s">
        <v>78</v>
      </c>
      <c r="I38" s="45">
        <v>93.95</v>
      </c>
    </row>
    <row r="39" spans="1:16" ht="13" x14ac:dyDescent="0.3">
      <c r="B39" s="67" t="s">
        <v>99</v>
      </c>
      <c r="C39" s="68" t="s">
        <v>100</v>
      </c>
      <c r="H39" s="16" t="s">
        <v>88</v>
      </c>
      <c r="I39" s="60">
        <v>103.309</v>
      </c>
    </row>
    <row r="40" spans="1:16" ht="13" x14ac:dyDescent="0.3">
      <c r="B40" s="69"/>
      <c r="C40" s="70"/>
      <c r="G40" s="71"/>
      <c r="H40" s="16" t="s">
        <v>96</v>
      </c>
      <c r="I40" s="45">
        <f>EXP(-(I39/I38))</f>
        <v>0.33299865852738669</v>
      </c>
    </row>
    <row r="41" spans="1:16" x14ac:dyDescent="0.25">
      <c r="B41" s="69">
        <v>7.38</v>
      </c>
      <c r="C41" s="70">
        <f t="shared" ref="C41:C47" si="0">LN(B41)</f>
        <v>1.9987736386123811</v>
      </c>
      <c r="H41" s="16" t="s">
        <v>101</v>
      </c>
      <c r="I41" s="45">
        <f>1-I40</f>
        <v>0.66700134147261325</v>
      </c>
    </row>
    <row r="42" spans="1:16" x14ac:dyDescent="0.25">
      <c r="B42" s="69">
        <v>17.03</v>
      </c>
      <c r="C42" s="70">
        <f t="shared" si="0"/>
        <v>2.834976494674597</v>
      </c>
    </row>
    <row r="43" spans="1:16" x14ac:dyDescent="0.25">
      <c r="B43" s="69">
        <v>2.02</v>
      </c>
      <c r="C43" s="70">
        <f t="shared" si="0"/>
        <v>0.70309751141311339</v>
      </c>
    </row>
    <row r="44" spans="1:16" x14ac:dyDescent="0.25">
      <c r="B44" s="69">
        <v>29.26</v>
      </c>
      <c r="C44" s="70">
        <f t="shared" si="0"/>
        <v>3.3762213955919784</v>
      </c>
    </row>
    <row r="45" spans="1:16" x14ac:dyDescent="0.25">
      <c r="B45" s="69">
        <v>20.93</v>
      </c>
      <c r="C45" s="70">
        <f t="shared" si="0"/>
        <v>3.0411835364579085</v>
      </c>
    </row>
    <row r="46" spans="1:16" x14ac:dyDescent="0.25">
      <c r="B46" s="69">
        <v>9.2799999999999994</v>
      </c>
      <c r="C46" s="70">
        <f t="shared" si="0"/>
        <v>2.2278615467981093</v>
      </c>
    </row>
    <row r="47" spans="1:16" x14ac:dyDescent="0.25">
      <c r="B47" s="69">
        <v>1.32</v>
      </c>
      <c r="C47" s="70">
        <f t="shared" si="0"/>
        <v>0.27763173659827955</v>
      </c>
    </row>
    <row r="48" spans="1:16" x14ac:dyDescent="0.25">
      <c r="B48" s="69"/>
      <c r="C48" s="70"/>
    </row>
    <row r="49" spans="1:4" x14ac:dyDescent="0.25">
      <c r="B49" s="69"/>
      <c r="C49" s="70"/>
      <c r="D49" s="3"/>
    </row>
    <row r="50" spans="1:4" x14ac:dyDescent="0.25">
      <c r="B50" s="69"/>
      <c r="C50" s="70"/>
    </row>
    <row r="51" spans="1:4" x14ac:dyDescent="0.25">
      <c r="B51" s="69"/>
      <c r="C51" s="70"/>
    </row>
    <row r="52" spans="1:4" x14ac:dyDescent="0.25">
      <c r="B52" s="69"/>
      <c r="C52" s="70"/>
    </row>
    <row r="53" spans="1:4" x14ac:dyDescent="0.25">
      <c r="B53" s="69"/>
      <c r="C53" s="70"/>
    </row>
    <row r="55" spans="1:4" x14ac:dyDescent="0.25">
      <c r="B55">
        <f>AVERAGE(B40:B53)</f>
        <v>12.459999999999999</v>
      </c>
      <c r="C55">
        <f>AVERAGE(C40:C53)</f>
        <v>2.0656779800209097</v>
      </c>
      <c r="D55" s="25" t="s">
        <v>102</v>
      </c>
    </row>
    <row r="56" spans="1:4" x14ac:dyDescent="0.25">
      <c r="B56" s="72">
        <f>STDEV(B40:B53)</f>
        <v>10.359197201842754</v>
      </c>
      <c r="C56" s="73">
        <f>STDEV(C40:C53)</f>
        <v>1.1793691775454656</v>
      </c>
      <c r="D56" s="25" t="s">
        <v>103</v>
      </c>
    </row>
    <row r="57" spans="1:4" x14ac:dyDescent="0.25">
      <c r="B57" s="16" t="s">
        <v>104</v>
      </c>
      <c r="C57" s="74">
        <v>0.2339</v>
      </c>
    </row>
    <row r="58" spans="1:4" ht="13" x14ac:dyDescent="0.3">
      <c r="B58" s="14" t="s">
        <v>71</v>
      </c>
      <c r="C58" s="75">
        <f>EXP(NORMINV(C57,C55,C56))</f>
        <v>3.3514107216142861</v>
      </c>
    </row>
    <row r="60" spans="1:4" x14ac:dyDescent="0.25">
      <c r="B60" s="16" t="s">
        <v>105</v>
      </c>
      <c r="C60" s="74">
        <v>100</v>
      </c>
    </row>
    <row r="61" spans="1:4" ht="13" x14ac:dyDescent="0.3">
      <c r="A61" s="16" t="s">
        <v>106</v>
      </c>
      <c r="B61" s="14" t="s">
        <v>107</v>
      </c>
      <c r="C61" s="76">
        <f>1-NORMDIST(LN(C60),C55,C56,1)</f>
        <v>1.5649001040398569E-2</v>
      </c>
    </row>
    <row r="63" spans="1:4" x14ac:dyDescent="0.25">
      <c r="B63" s="7" t="s">
        <v>108</v>
      </c>
      <c r="C63" s="8">
        <v>1</v>
      </c>
    </row>
    <row r="64" spans="1:4" x14ac:dyDescent="0.25">
      <c r="B64" s="35" t="s">
        <v>71</v>
      </c>
      <c r="C64" s="8">
        <v>4</v>
      </c>
    </row>
    <row r="65" spans="1:3" ht="13" x14ac:dyDescent="0.3">
      <c r="B65" s="77" t="s">
        <v>15</v>
      </c>
      <c r="C65" s="11">
        <f>NORMDIST(LN(C64),C55,(C56/C63^0.5),1)</f>
        <v>0.2822883994109382</v>
      </c>
    </row>
    <row r="66" spans="1:3" ht="13" x14ac:dyDescent="0.3">
      <c r="B66" s="77" t="s">
        <v>16</v>
      </c>
      <c r="C66" s="70">
        <f>1-C65</f>
        <v>0.7177116005890618</v>
      </c>
    </row>
    <row r="68" spans="1:3" x14ac:dyDescent="0.25">
      <c r="B68" s="7" t="s">
        <v>75</v>
      </c>
      <c r="C68" s="8">
        <v>1</v>
      </c>
    </row>
    <row r="69" spans="1:3" x14ac:dyDescent="0.25">
      <c r="B69" s="7" t="s">
        <v>71</v>
      </c>
      <c r="C69" s="8">
        <v>4</v>
      </c>
    </row>
    <row r="70" spans="1:3" ht="13" x14ac:dyDescent="0.3">
      <c r="B70" s="10" t="s">
        <v>15</v>
      </c>
      <c r="C70" s="11">
        <f>NORMDIST(LN(C69),C55,C56,1)</f>
        <v>0.2822883994109382</v>
      </c>
    </row>
    <row r="71" spans="1:3" ht="13" x14ac:dyDescent="0.3">
      <c r="B71" s="10" t="s">
        <v>109</v>
      </c>
      <c r="C71" s="11">
        <f>1-NORMDIST(LN(C68),C55,C56,1)</f>
        <v>0.96007102806414202</v>
      </c>
    </row>
    <row r="72" spans="1:3" ht="13" x14ac:dyDescent="0.3">
      <c r="B72" s="10" t="s">
        <v>66</v>
      </c>
      <c r="C72" s="11">
        <f>NORMDIST(LN(C68),C55,C56,1)-NORMDIST(LN(C69),C55,C56,1)</f>
        <v>-0.24235942747508016</v>
      </c>
    </row>
    <row r="74" spans="1:3" x14ac:dyDescent="0.25">
      <c r="A74" s="78"/>
      <c r="B74" s="379"/>
    </row>
    <row r="75" spans="1:3" x14ac:dyDescent="0.25">
      <c r="A75" s="78"/>
      <c r="B75" s="379"/>
      <c r="C75">
        <f>1-NORMDIST(4,4.45,(2.45272318733922/39^0.5),1)</f>
        <v>0.87405419759992853</v>
      </c>
    </row>
    <row r="76" spans="1:3" x14ac:dyDescent="0.25">
      <c r="A76" s="78"/>
    </row>
    <row r="77" spans="1:3" x14ac:dyDescent="0.25">
      <c r="A77" s="78"/>
    </row>
    <row r="80" spans="1:3" ht="18" x14ac:dyDescent="0.4">
      <c r="A80" s="66" t="s">
        <v>98</v>
      </c>
      <c r="B80" s="34"/>
      <c r="C80" s="34"/>
    </row>
    <row r="81" spans="2:4" ht="13" x14ac:dyDescent="0.3">
      <c r="B81" s="67" t="s">
        <v>99</v>
      </c>
      <c r="C81" s="68" t="s">
        <v>100</v>
      </c>
    </row>
    <row r="82" spans="2:4" x14ac:dyDescent="0.25">
      <c r="B82" s="69"/>
      <c r="C82" s="70"/>
    </row>
    <row r="83" spans="2:4" x14ac:dyDescent="0.25">
      <c r="B83" s="69">
        <v>3.41</v>
      </c>
      <c r="C83" s="70">
        <f t="shared" ref="C83:C90" si="1">LN(B83)</f>
        <v>1.2267122912954254</v>
      </c>
    </row>
    <row r="84" spans="2:4" x14ac:dyDescent="0.25">
      <c r="B84" s="69">
        <v>4.62</v>
      </c>
      <c r="C84" s="70">
        <f t="shared" si="1"/>
        <v>1.5303947050936475</v>
      </c>
    </row>
    <row r="85" spans="2:4" x14ac:dyDescent="0.25">
      <c r="B85" s="69">
        <v>3.46</v>
      </c>
      <c r="C85" s="70">
        <f t="shared" si="1"/>
        <v>1.2412685890696329</v>
      </c>
    </row>
    <row r="86" spans="2:4" x14ac:dyDescent="0.25">
      <c r="B86" s="69">
        <v>2.76</v>
      </c>
      <c r="C86" s="70">
        <f t="shared" si="1"/>
        <v>1.0152306797290584</v>
      </c>
    </row>
    <row r="87" spans="2:4" x14ac:dyDescent="0.25">
      <c r="B87" s="69">
        <v>2.4700000000000002</v>
      </c>
      <c r="C87" s="70">
        <f t="shared" si="1"/>
        <v>0.90421815063988586</v>
      </c>
    </row>
    <row r="88" spans="2:4" x14ac:dyDescent="0.25">
      <c r="B88" s="69">
        <v>2.59</v>
      </c>
      <c r="C88" s="70">
        <f t="shared" si="1"/>
        <v>0.95165787571144633</v>
      </c>
    </row>
    <row r="89" spans="2:4" x14ac:dyDescent="0.25">
      <c r="B89" s="69">
        <v>5.1100000000000003</v>
      </c>
      <c r="C89" s="70">
        <f t="shared" si="1"/>
        <v>1.631199404215613</v>
      </c>
    </row>
    <row r="90" spans="2:4" x14ac:dyDescent="0.25">
      <c r="B90" s="69">
        <v>4.21</v>
      </c>
      <c r="C90" s="70">
        <f t="shared" si="1"/>
        <v>1.43746264769429</v>
      </c>
    </row>
    <row r="91" spans="2:4" x14ac:dyDescent="0.25">
      <c r="B91" s="69"/>
      <c r="C91" s="70"/>
      <c r="D91" s="3"/>
    </row>
    <row r="92" spans="2:4" x14ac:dyDescent="0.25">
      <c r="B92" s="69"/>
      <c r="C92" s="70"/>
    </row>
    <row r="93" spans="2:4" x14ac:dyDescent="0.25">
      <c r="B93" s="69"/>
      <c r="C93" s="70"/>
    </row>
    <row r="94" spans="2:4" x14ac:dyDescent="0.25">
      <c r="B94" s="69"/>
      <c r="C94" s="70"/>
    </row>
    <row r="95" spans="2:4" x14ac:dyDescent="0.25">
      <c r="B95" s="69"/>
      <c r="C95" s="70"/>
    </row>
    <row r="97" spans="1:4" x14ac:dyDescent="0.25">
      <c r="B97">
        <f>AVERAGE(B82:B95)</f>
        <v>3.5787500000000003</v>
      </c>
      <c r="C97">
        <f>AVERAGE(C82:C95)</f>
        <v>1.2422680429311248</v>
      </c>
      <c r="D97" s="25" t="s">
        <v>102</v>
      </c>
    </row>
    <row r="98" spans="1:4" x14ac:dyDescent="0.25">
      <c r="B98" s="72">
        <f>STDEV(B82:B95)</f>
        <v>0.98178318089367889</v>
      </c>
      <c r="C98" s="73">
        <f>STDEV(C82:C95)</f>
        <v>0.27331469422221011</v>
      </c>
      <c r="D98" s="25" t="s">
        <v>103</v>
      </c>
    </row>
    <row r="99" spans="1:4" x14ac:dyDescent="0.25">
      <c r="B99" s="16" t="s">
        <v>72</v>
      </c>
      <c r="C99" s="74">
        <v>0.74629999999999996</v>
      </c>
    </row>
    <row r="100" spans="1:4" ht="13" x14ac:dyDescent="0.3">
      <c r="B100" s="14" t="s">
        <v>71</v>
      </c>
      <c r="C100" s="75">
        <f>EXP(NORMINV(C99,C97,C98))</f>
        <v>4.151401757817017</v>
      </c>
    </row>
    <row r="102" spans="1:4" x14ac:dyDescent="0.25">
      <c r="B102" s="16" t="s">
        <v>105</v>
      </c>
      <c r="C102" s="74">
        <v>100</v>
      </c>
    </row>
    <row r="103" spans="1:4" ht="13" x14ac:dyDescent="0.3">
      <c r="A103" s="16" t="s">
        <v>106</v>
      </c>
      <c r="B103" s="14" t="s">
        <v>107</v>
      </c>
      <c r="C103" s="76">
        <f>1-NORMDIST(LN(C102),C97,C98,1)</f>
        <v>0</v>
      </c>
    </row>
    <row r="105" spans="1:4" x14ac:dyDescent="0.25">
      <c r="B105" s="7" t="s">
        <v>108</v>
      </c>
      <c r="C105" s="8">
        <v>1</v>
      </c>
    </row>
    <row r="106" spans="1:4" x14ac:dyDescent="0.25">
      <c r="B106" s="35" t="s">
        <v>71</v>
      </c>
      <c r="C106" s="8">
        <v>4</v>
      </c>
    </row>
    <row r="107" spans="1:4" ht="13" x14ac:dyDescent="0.3">
      <c r="B107" s="77" t="s">
        <v>15</v>
      </c>
      <c r="C107" s="11">
        <f>NORMDIST(LN(C106),C97,(C98/C105^0.5),1)</f>
        <v>0.70088983386565162</v>
      </c>
    </row>
    <row r="108" spans="1:4" ht="13" x14ac:dyDescent="0.3">
      <c r="B108" s="77" t="s">
        <v>16</v>
      </c>
      <c r="C108" s="70">
        <f>1-C107</f>
        <v>0.29911016613434838</v>
      </c>
    </row>
    <row r="110" spans="1:4" x14ac:dyDescent="0.25">
      <c r="B110" s="7" t="s">
        <v>75</v>
      </c>
      <c r="C110" s="8">
        <v>1</v>
      </c>
    </row>
    <row r="111" spans="1:4" x14ac:dyDescent="0.25">
      <c r="B111" s="7" t="s">
        <v>71</v>
      </c>
      <c r="C111" s="8">
        <v>4</v>
      </c>
    </row>
    <row r="112" spans="1:4" ht="13" x14ac:dyDescent="0.3">
      <c r="B112" s="10" t="s">
        <v>15</v>
      </c>
      <c r="C112" s="11">
        <f>NORMDIST(LN(C111),C97,C98,1)</f>
        <v>0.70088983386565162</v>
      </c>
    </row>
    <row r="113" spans="2:3" ht="13" x14ac:dyDescent="0.3">
      <c r="B113" s="10" t="s">
        <v>109</v>
      </c>
      <c r="C113" s="11">
        <f>1-NORMDIST(LN(C110),C97,C98,1)</f>
        <v>0.99999725575338594</v>
      </c>
    </row>
    <row r="114" spans="2:3" ht="13" x14ac:dyDescent="0.3">
      <c r="B114" s="10" t="s">
        <v>66</v>
      </c>
      <c r="C114" s="11">
        <f>NORMDIST(LN(C110),C97,C98,1)-NORMDIST(LN(C111),C97,C98,1)</f>
        <v>-0.70088708961903756</v>
      </c>
    </row>
  </sheetData>
  <mergeCells count="3">
    <mergeCell ref="M19:P19"/>
    <mergeCell ref="M29:P29"/>
    <mergeCell ref="B74:B75"/>
  </mergeCells>
  <pageMargins left="0.35972222222222222" right="0.4201388888888889" top="0.77986111111111112" bottom="0.70972222222222225" header="0.51180555555555562" footer="0.51180555555555562"/>
  <pageSetup firstPageNumber="0" orientation="landscape" horizontalDpi="300" verticalDpi="300"/>
  <headerFooter alignWithMargins="0"/>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2:AJ65"/>
  <sheetViews>
    <sheetView showGridLines="0" zoomScale="85" zoomScaleNormal="85" workbookViewId="0">
      <selection activeCell="H28" sqref="H28"/>
    </sheetView>
  </sheetViews>
  <sheetFormatPr defaultRowHeight="12.5" x14ac:dyDescent="0.25"/>
  <cols>
    <col min="1" max="1" width="6.26953125" customWidth="1"/>
    <col min="2" max="2" width="3.81640625" customWidth="1"/>
    <col min="3" max="3" width="4" customWidth="1"/>
    <col min="4" max="4" width="3.7265625" customWidth="1"/>
    <col min="5" max="5" width="3.81640625" customWidth="1"/>
    <col min="6" max="6" width="3.453125" customWidth="1"/>
    <col min="7" max="7" width="3.26953125" customWidth="1"/>
    <col min="8" max="8" width="5" customWidth="1"/>
    <col min="11" max="13" width="2.54296875" customWidth="1"/>
    <col min="14" max="14" width="3.54296875" customWidth="1"/>
    <col min="15" max="15" width="4" customWidth="1"/>
    <col min="16" max="16" width="3.81640625" customWidth="1"/>
    <col min="17" max="17" width="5.7265625" customWidth="1"/>
    <col min="18" max="18" width="13" customWidth="1"/>
    <col min="22" max="22" width="9.26953125" customWidth="1"/>
  </cols>
  <sheetData>
    <row r="2" spans="1:29" x14ac:dyDescent="0.25">
      <c r="V2" s="16" t="s">
        <v>529</v>
      </c>
      <c r="W2" s="16" t="s">
        <v>531</v>
      </c>
      <c r="X2" s="146" t="s">
        <v>532</v>
      </c>
      <c r="Y2" s="146" t="s">
        <v>533</v>
      </c>
      <c r="Z2" s="16" t="s">
        <v>534</v>
      </c>
      <c r="AA2" s="16" t="s">
        <v>245</v>
      </c>
      <c r="AB2" s="146" t="s">
        <v>610</v>
      </c>
      <c r="AC2" s="16" t="s">
        <v>326</v>
      </c>
    </row>
    <row r="3" spans="1:29" ht="13" x14ac:dyDescent="0.3">
      <c r="A3" s="332"/>
      <c r="B3" s="422" t="s">
        <v>551</v>
      </c>
      <c r="C3" s="422"/>
      <c r="D3" s="422"/>
      <c r="E3" s="422"/>
      <c r="F3" s="422"/>
      <c r="G3" s="422"/>
      <c r="H3" s="422"/>
      <c r="J3" s="332"/>
      <c r="K3" s="422" t="s">
        <v>551</v>
      </c>
      <c r="L3" s="422"/>
      <c r="M3" s="422"/>
      <c r="N3" s="422"/>
      <c r="O3" s="422"/>
      <c r="P3" s="422"/>
      <c r="Q3" s="422"/>
      <c r="V3">
        <v>-1</v>
      </c>
      <c r="W3">
        <v>-1</v>
      </c>
      <c r="X3" s="129">
        <v>-1</v>
      </c>
      <c r="Y3" s="129">
        <v>1</v>
      </c>
      <c r="Z3">
        <v>1</v>
      </c>
      <c r="AA3">
        <v>1</v>
      </c>
      <c r="AB3" s="129">
        <v>-1</v>
      </c>
      <c r="AC3">
        <v>-130972.7</v>
      </c>
    </row>
    <row r="4" spans="1:29" ht="13" x14ac:dyDescent="0.3">
      <c r="A4" s="77" t="s">
        <v>552</v>
      </c>
      <c r="B4" s="67" t="s">
        <v>529</v>
      </c>
      <c r="C4" s="67" t="s">
        <v>531</v>
      </c>
      <c r="D4" s="67" t="s">
        <v>532</v>
      </c>
      <c r="E4" s="67" t="s">
        <v>533</v>
      </c>
      <c r="F4" s="67" t="s">
        <v>534</v>
      </c>
      <c r="G4" s="67" t="s">
        <v>245</v>
      </c>
      <c r="H4" s="67" t="s">
        <v>610</v>
      </c>
      <c r="J4" s="77" t="s">
        <v>552</v>
      </c>
      <c r="K4" s="67" t="s">
        <v>533</v>
      </c>
      <c r="L4" s="67" t="s">
        <v>534</v>
      </c>
      <c r="M4" s="67" t="s">
        <v>245</v>
      </c>
      <c r="N4" s="67" t="s">
        <v>674</v>
      </c>
      <c r="O4" s="67" t="s">
        <v>675</v>
      </c>
      <c r="P4" s="67" t="s">
        <v>676</v>
      </c>
      <c r="Q4" s="67" t="s">
        <v>677</v>
      </c>
      <c r="R4" s="365" t="s">
        <v>122</v>
      </c>
      <c r="V4">
        <v>-1</v>
      </c>
      <c r="W4">
        <v>-1</v>
      </c>
      <c r="X4" s="129">
        <v>1</v>
      </c>
      <c r="Y4" s="129">
        <v>1</v>
      </c>
      <c r="Z4">
        <v>-1</v>
      </c>
      <c r="AA4">
        <v>-1</v>
      </c>
      <c r="AB4" s="129">
        <v>1</v>
      </c>
      <c r="AC4">
        <v>-43699.18</v>
      </c>
    </row>
    <row r="5" spans="1:29" ht="13" x14ac:dyDescent="0.3">
      <c r="A5" s="67">
        <v>1</v>
      </c>
      <c r="B5" s="70">
        <v>-1</v>
      </c>
      <c r="C5" s="70">
        <v>-1</v>
      </c>
      <c r="D5" s="70">
        <v>-1</v>
      </c>
      <c r="E5" s="70">
        <v>1</v>
      </c>
      <c r="F5" s="70">
        <v>1</v>
      </c>
      <c r="G5" s="70">
        <v>1</v>
      </c>
      <c r="H5" s="70">
        <v>-1</v>
      </c>
      <c r="J5" s="366">
        <v>1</v>
      </c>
      <c r="K5" s="70">
        <v>-1</v>
      </c>
      <c r="L5" s="70">
        <v>-1</v>
      </c>
      <c r="M5" s="70">
        <v>-1</v>
      </c>
      <c r="N5" s="70">
        <f t="shared" ref="N5:N16" si="0">+K5*L5</f>
        <v>1</v>
      </c>
      <c r="O5" s="70">
        <f t="shared" ref="O5:O16" si="1">+K5*M5</f>
        <v>1</v>
      </c>
      <c r="P5" s="70">
        <f t="shared" ref="P5:P16" si="2">+L5*M5</f>
        <v>1</v>
      </c>
      <c r="Q5" s="70">
        <f t="shared" ref="Q5:Q16" si="3">+K5*L5*M5</f>
        <v>-1</v>
      </c>
      <c r="R5">
        <v>1012.07</v>
      </c>
      <c r="V5">
        <v>-1</v>
      </c>
      <c r="W5">
        <v>1</v>
      </c>
      <c r="X5" s="129">
        <v>-1</v>
      </c>
      <c r="Y5" s="129">
        <v>-1</v>
      </c>
      <c r="Z5">
        <v>1</v>
      </c>
      <c r="AA5">
        <v>-1</v>
      </c>
      <c r="AB5" s="129">
        <v>1</v>
      </c>
      <c r="AC5">
        <v>-93417.47</v>
      </c>
    </row>
    <row r="6" spans="1:29" ht="13" x14ac:dyDescent="0.3">
      <c r="A6" s="67">
        <v>2</v>
      </c>
      <c r="B6" s="70">
        <v>-1</v>
      </c>
      <c r="C6" s="70">
        <v>-1</v>
      </c>
      <c r="D6" s="70">
        <v>1</v>
      </c>
      <c r="E6" s="70">
        <v>1</v>
      </c>
      <c r="F6" s="70">
        <v>-1</v>
      </c>
      <c r="G6" s="70">
        <v>-1</v>
      </c>
      <c r="H6" s="70">
        <v>1</v>
      </c>
      <c r="J6" s="67">
        <v>2</v>
      </c>
      <c r="K6" s="70">
        <v>-1</v>
      </c>
      <c r="L6" s="70">
        <v>-1</v>
      </c>
      <c r="M6" s="70">
        <v>1</v>
      </c>
      <c r="N6" s="70">
        <f t="shared" si="0"/>
        <v>1</v>
      </c>
      <c r="O6" s="70">
        <f t="shared" si="1"/>
        <v>-1</v>
      </c>
      <c r="P6" s="70">
        <f t="shared" si="2"/>
        <v>-1</v>
      </c>
      <c r="Q6" s="70">
        <f t="shared" si="3"/>
        <v>1</v>
      </c>
      <c r="R6">
        <v>-8963.09</v>
      </c>
      <c r="T6">
        <v>4</v>
      </c>
      <c r="V6">
        <v>-1</v>
      </c>
      <c r="W6">
        <v>1</v>
      </c>
      <c r="X6" s="129">
        <v>1</v>
      </c>
      <c r="Y6" s="129">
        <v>-1</v>
      </c>
      <c r="Z6">
        <v>-1</v>
      </c>
      <c r="AA6">
        <v>1</v>
      </c>
      <c r="AB6" s="129">
        <v>-1</v>
      </c>
      <c r="AC6">
        <v>-170317.7</v>
      </c>
    </row>
    <row r="7" spans="1:29" ht="13" x14ac:dyDescent="0.3">
      <c r="A7" s="67">
        <v>3</v>
      </c>
      <c r="B7" s="70">
        <v>-1</v>
      </c>
      <c r="C7" s="70">
        <v>1</v>
      </c>
      <c r="D7" s="70">
        <v>-1</v>
      </c>
      <c r="E7" s="70">
        <v>-1</v>
      </c>
      <c r="F7" s="70">
        <v>1</v>
      </c>
      <c r="G7" s="70">
        <v>-1</v>
      </c>
      <c r="H7" s="70">
        <v>1</v>
      </c>
      <c r="J7" s="67">
        <v>3</v>
      </c>
      <c r="K7" s="70">
        <v>-1</v>
      </c>
      <c r="L7" s="70">
        <v>1</v>
      </c>
      <c r="M7" s="70">
        <v>-1</v>
      </c>
      <c r="N7" s="70">
        <f t="shared" si="0"/>
        <v>-1</v>
      </c>
      <c r="O7" s="70">
        <f t="shared" si="1"/>
        <v>1</v>
      </c>
      <c r="P7" s="70">
        <f t="shared" si="2"/>
        <v>-1</v>
      </c>
      <c r="Q7" s="70">
        <f t="shared" si="3"/>
        <v>1</v>
      </c>
      <c r="R7">
        <v>1022.08</v>
      </c>
      <c r="T7">
        <v>3</v>
      </c>
      <c r="V7">
        <v>1</v>
      </c>
      <c r="W7">
        <v>-1</v>
      </c>
      <c r="X7" s="129">
        <v>-1</v>
      </c>
      <c r="Y7" s="129">
        <v>-1</v>
      </c>
      <c r="Z7">
        <v>-1</v>
      </c>
      <c r="AA7">
        <v>1</v>
      </c>
      <c r="AB7" s="129">
        <v>1</v>
      </c>
      <c r="AC7">
        <v>-93418.62</v>
      </c>
    </row>
    <row r="8" spans="1:29" ht="13" x14ac:dyDescent="0.3">
      <c r="A8" s="67">
        <v>4</v>
      </c>
      <c r="B8" s="70">
        <v>-1</v>
      </c>
      <c r="C8" s="70">
        <v>1</v>
      </c>
      <c r="D8" s="70">
        <v>1</v>
      </c>
      <c r="E8" s="70">
        <v>-1</v>
      </c>
      <c r="F8" s="70">
        <v>-1</v>
      </c>
      <c r="G8" s="70">
        <v>1</v>
      </c>
      <c r="H8" s="70">
        <v>-1</v>
      </c>
      <c r="J8" s="67">
        <v>4</v>
      </c>
      <c r="K8" s="70">
        <v>-1</v>
      </c>
      <c r="L8" s="70">
        <v>1</v>
      </c>
      <c r="M8" s="70">
        <v>1</v>
      </c>
      <c r="N8" s="70">
        <f t="shared" si="0"/>
        <v>-1</v>
      </c>
      <c r="O8" s="70">
        <f t="shared" si="1"/>
        <v>-1</v>
      </c>
      <c r="P8" s="70">
        <f t="shared" si="2"/>
        <v>1</v>
      </c>
      <c r="Q8" s="70">
        <f t="shared" si="3"/>
        <v>-1</v>
      </c>
      <c r="R8">
        <v>-8745.5499999999993</v>
      </c>
      <c r="V8">
        <v>1</v>
      </c>
      <c r="W8">
        <v>-1</v>
      </c>
      <c r="X8" s="129">
        <v>1</v>
      </c>
      <c r="Y8" s="129">
        <v>-1</v>
      </c>
      <c r="Z8">
        <v>1</v>
      </c>
      <c r="AA8">
        <v>-1</v>
      </c>
      <c r="AB8" s="129">
        <v>-1</v>
      </c>
      <c r="AC8">
        <v>-170320.8</v>
      </c>
    </row>
    <row r="9" spans="1:29" ht="13" x14ac:dyDescent="0.3">
      <c r="A9" s="67">
        <v>5</v>
      </c>
      <c r="B9" s="70">
        <v>1</v>
      </c>
      <c r="C9" s="70">
        <v>-1</v>
      </c>
      <c r="D9" s="70">
        <v>-1</v>
      </c>
      <c r="E9" s="70">
        <v>-1</v>
      </c>
      <c r="F9" s="70">
        <v>-1</v>
      </c>
      <c r="G9" s="70">
        <v>1</v>
      </c>
      <c r="H9" s="70">
        <v>1</v>
      </c>
      <c r="J9" s="67">
        <v>5</v>
      </c>
      <c r="K9" s="70">
        <v>1</v>
      </c>
      <c r="L9" s="70">
        <v>-1</v>
      </c>
      <c r="M9" s="70">
        <v>-1</v>
      </c>
      <c r="N9" s="70">
        <f t="shared" si="0"/>
        <v>-1</v>
      </c>
      <c r="O9" s="70">
        <f t="shared" si="1"/>
        <v>-1</v>
      </c>
      <c r="P9" s="70">
        <f t="shared" si="2"/>
        <v>1</v>
      </c>
      <c r="Q9" s="70">
        <f t="shared" si="3"/>
        <v>1</v>
      </c>
      <c r="R9">
        <v>-4002.1600000000003</v>
      </c>
      <c r="T9">
        <v>2</v>
      </c>
      <c r="V9">
        <v>1</v>
      </c>
      <c r="W9">
        <v>1</v>
      </c>
      <c r="X9" s="129">
        <v>-1</v>
      </c>
      <c r="Y9" s="129">
        <v>1</v>
      </c>
      <c r="Z9">
        <v>-1</v>
      </c>
      <c r="AA9">
        <v>-1</v>
      </c>
      <c r="AB9" s="129">
        <v>-1</v>
      </c>
      <c r="AC9">
        <v>-130973.3</v>
      </c>
    </row>
    <row r="10" spans="1:29" ht="13" x14ac:dyDescent="0.3">
      <c r="A10" s="67">
        <v>6</v>
      </c>
      <c r="B10" s="70">
        <v>1</v>
      </c>
      <c r="C10" s="70">
        <v>-1</v>
      </c>
      <c r="D10" s="70">
        <v>1</v>
      </c>
      <c r="E10" s="70">
        <v>-1</v>
      </c>
      <c r="F10" s="70">
        <v>1</v>
      </c>
      <c r="G10" s="70">
        <v>-1</v>
      </c>
      <c r="H10" s="70">
        <v>-1</v>
      </c>
      <c r="J10" s="67">
        <v>6</v>
      </c>
      <c r="K10" s="70">
        <v>1</v>
      </c>
      <c r="L10" s="70">
        <v>-1</v>
      </c>
      <c r="M10" s="70">
        <v>1</v>
      </c>
      <c r="N10" s="70">
        <f t="shared" si="0"/>
        <v>-1</v>
      </c>
      <c r="O10" s="70">
        <f t="shared" si="1"/>
        <v>1</v>
      </c>
      <c r="P10" s="70">
        <f t="shared" si="2"/>
        <v>-1</v>
      </c>
      <c r="Q10" s="70">
        <f t="shared" si="3"/>
        <v>-1</v>
      </c>
      <c r="R10">
        <v>3872.91</v>
      </c>
      <c r="V10">
        <v>1</v>
      </c>
      <c r="W10">
        <v>1</v>
      </c>
      <c r="X10" s="129">
        <v>1</v>
      </c>
      <c r="Y10" s="129">
        <v>1</v>
      </c>
      <c r="Z10">
        <v>1</v>
      </c>
      <c r="AA10">
        <v>1</v>
      </c>
      <c r="AB10" s="129">
        <v>1</v>
      </c>
      <c r="AC10">
        <v>-43697.61</v>
      </c>
    </row>
    <row r="11" spans="1:29" ht="13" x14ac:dyDescent="0.3">
      <c r="A11" s="67">
        <v>7</v>
      </c>
      <c r="B11" s="70">
        <v>1</v>
      </c>
      <c r="C11" s="70">
        <v>1</v>
      </c>
      <c r="D11" s="70">
        <v>-1</v>
      </c>
      <c r="E11" s="70">
        <v>1</v>
      </c>
      <c r="F11" s="70">
        <v>-1</v>
      </c>
      <c r="G11" s="70">
        <v>-1</v>
      </c>
      <c r="H11" s="70">
        <v>-1</v>
      </c>
      <c r="J11" s="67">
        <v>7</v>
      </c>
      <c r="K11" s="70">
        <v>1</v>
      </c>
      <c r="L11" s="70">
        <v>1</v>
      </c>
      <c r="M11" s="70">
        <v>-1</v>
      </c>
      <c r="N11" s="70">
        <f t="shared" si="0"/>
        <v>1</v>
      </c>
      <c r="O11" s="70">
        <f t="shared" si="1"/>
        <v>-1</v>
      </c>
      <c r="P11" s="70">
        <f t="shared" si="2"/>
        <v>-1</v>
      </c>
      <c r="Q11" s="70">
        <f t="shared" si="3"/>
        <v>-1</v>
      </c>
      <c r="R11">
        <v>-3757.89</v>
      </c>
      <c r="V11">
        <v>1</v>
      </c>
      <c r="W11">
        <v>-1</v>
      </c>
      <c r="X11" s="129">
        <v>1</v>
      </c>
      <c r="Y11" s="129">
        <v>-1</v>
      </c>
      <c r="Z11">
        <v>1</v>
      </c>
      <c r="AA11">
        <v>-1</v>
      </c>
      <c r="AB11" s="129">
        <v>-1</v>
      </c>
      <c r="AC11">
        <v>-170316.2</v>
      </c>
    </row>
    <row r="12" spans="1:29" ht="13" x14ac:dyDescent="0.3">
      <c r="A12" s="67">
        <v>8</v>
      </c>
      <c r="B12" s="70">
        <v>1</v>
      </c>
      <c r="C12" s="70">
        <v>1</v>
      </c>
      <c r="D12" s="70">
        <v>1</v>
      </c>
      <c r="E12" s="70">
        <v>1</v>
      </c>
      <c r="F12" s="70">
        <v>1</v>
      </c>
      <c r="G12" s="70">
        <v>1</v>
      </c>
      <c r="H12" s="70">
        <v>1</v>
      </c>
      <c r="J12" s="67">
        <v>8</v>
      </c>
      <c r="K12" s="70">
        <v>1</v>
      </c>
      <c r="L12" s="70">
        <v>1</v>
      </c>
      <c r="M12" s="70">
        <v>1</v>
      </c>
      <c r="N12" s="70">
        <f t="shared" si="0"/>
        <v>1</v>
      </c>
      <c r="O12" s="70">
        <f t="shared" si="1"/>
        <v>1</v>
      </c>
      <c r="P12" s="70">
        <f t="shared" si="2"/>
        <v>1</v>
      </c>
      <c r="Q12" s="70">
        <f t="shared" si="3"/>
        <v>1</v>
      </c>
      <c r="R12">
        <v>3726.71</v>
      </c>
      <c r="T12">
        <v>8</v>
      </c>
      <c r="V12">
        <v>1</v>
      </c>
      <c r="W12">
        <v>1</v>
      </c>
      <c r="X12" s="129">
        <v>1</v>
      </c>
      <c r="Y12" s="129">
        <v>1</v>
      </c>
      <c r="Z12">
        <v>1</v>
      </c>
      <c r="AA12">
        <v>1</v>
      </c>
      <c r="AB12" s="129">
        <v>1</v>
      </c>
      <c r="AC12">
        <v>-43697.56</v>
      </c>
    </row>
    <row r="13" spans="1:29" x14ac:dyDescent="0.25">
      <c r="K13" s="70">
        <v>-1</v>
      </c>
      <c r="L13" s="70">
        <v>1</v>
      </c>
      <c r="M13" s="70">
        <v>-1</v>
      </c>
      <c r="N13" s="70">
        <f t="shared" si="0"/>
        <v>-1</v>
      </c>
      <c r="O13" s="70">
        <f t="shared" si="1"/>
        <v>1</v>
      </c>
      <c r="P13" s="70">
        <f t="shared" si="2"/>
        <v>-1</v>
      </c>
      <c r="Q13" s="70">
        <f t="shared" si="3"/>
        <v>1</v>
      </c>
      <c r="R13">
        <v>1011.22</v>
      </c>
    </row>
    <row r="14" spans="1:29" x14ac:dyDescent="0.25">
      <c r="K14" s="70">
        <v>1</v>
      </c>
      <c r="L14" s="70">
        <v>-1</v>
      </c>
      <c r="M14" s="70">
        <v>-1</v>
      </c>
      <c r="N14" s="70">
        <f t="shared" si="0"/>
        <v>-1</v>
      </c>
      <c r="O14" s="70">
        <f t="shared" si="1"/>
        <v>-1</v>
      </c>
      <c r="P14" s="70">
        <f t="shared" si="2"/>
        <v>1</v>
      </c>
      <c r="Q14" s="70">
        <f t="shared" si="3"/>
        <v>1</v>
      </c>
      <c r="R14">
        <v>-4086.39</v>
      </c>
      <c r="AB14" t="s">
        <v>415</v>
      </c>
    </row>
    <row r="15" spans="1:29" ht="13" x14ac:dyDescent="0.3">
      <c r="A15" s="22" t="s">
        <v>554</v>
      </c>
      <c r="K15" s="70">
        <v>1</v>
      </c>
      <c r="L15" s="70">
        <v>1</v>
      </c>
      <c r="M15" s="70">
        <v>1</v>
      </c>
      <c r="N15" s="70">
        <f t="shared" si="0"/>
        <v>1</v>
      </c>
      <c r="O15" s="70">
        <f t="shared" si="1"/>
        <v>1</v>
      </c>
      <c r="P15" s="70">
        <f t="shared" si="2"/>
        <v>1</v>
      </c>
      <c r="Q15" s="70">
        <f t="shared" si="3"/>
        <v>1</v>
      </c>
      <c r="R15">
        <v>3748.76</v>
      </c>
    </row>
    <row r="16" spans="1:29" ht="13" x14ac:dyDescent="0.3">
      <c r="A16" t="s">
        <v>555</v>
      </c>
      <c r="K16" s="70">
        <v>1</v>
      </c>
      <c r="L16" s="70">
        <v>1</v>
      </c>
      <c r="M16" s="70">
        <v>1</v>
      </c>
      <c r="N16" s="70">
        <f t="shared" si="0"/>
        <v>1</v>
      </c>
      <c r="O16" s="70">
        <f t="shared" si="1"/>
        <v>1</v>
      </c>
      <c r="P16" s="70">
        <f t="shared" si="2"/>
        <v>1</v>
      </c>
      <c r="Q16" s="70">
        <f t="shared" si="3"/>
        <v>1</v>
      </c>
      <c r="R16">
        <v>3832.03</v>
      </c>
      <c r="AB16" s="406" t="s">
        <v>417</v>
      </c>
      <c r="AC16" s="406"/>
    </row>
    <row r="17" spans="1:36" x14ac:dyDescent="0.25">
      <c r="A17" t="s">
        <v>556</v>
      </c>
      <c r="AB17" t="s">
        <v>419</v>
      </c>
      <c r="AC17">
        <v>0.99999999979271914</v>
      </c>
    </row>
    <row r="18" spans="1:36" x14ac:dyDescent="0.25">
      <c r="A18" t="s">
        <v>557</v>
      </c>
      <c r="AB18" t="s">
        <v>421</v>
      </c>
      <c r="AC18">
        <v>0.99999999958543817</v>
      </c>
    </row>
    <row r="19" spans="1:36" x14ac:dyDescent="0.25">
      <c r="A19" t="s">
        <v>558</v>
      </c>
      <c r="AB19" t="s">
        <v>423</v>
      </c>
      <c r="AC19">
        <v>0.99999999813447182</v>
      </c>
    </row>
    <row r="20" spans="1:36" x14ac:dyDescent="0.25">
      <c r="A20" t="s">
        <v>559</v>
      </c>
      <c r="AB20" t="s">
        <v>425</v>
      </c>
      <c r="AC20">
        <v>2.3001358655386994</v>
      </c>
    </row>
    <row r="21" spans="1:36" x14ac:dyDescent="0.25">
      <c r="A21" t="s">
        <v>560</v>
      </c>
      <c r="AB21" s="119" t="s">
        <v>216</v>
      </c>
      <c r="AC21" s="119">
        <v>10</v>
      </c>
    </row>
    <row r="22" spans="1:36" x14ac:dyDescent="0.25">
      <c r="A22" t="s">
        <v>561</v>
      </c>
    </row>
    <row r="23" spans="1:36" x14ac:dyDescent="0.25">
      <c r="AB23" t="s">
        <v>428</v>
      </c>
    </row>
    <row r="24" spans="1:36" ht="13" x14ac:dyDescent="0.3">
      <c r="AB24" s="141"/>
      <c r="AC24" s="141" t="s">
        <v>219</v>
      </c>
      <c r="AD24" s="141" t="s">
        <v>429</v>
      </c>
      <c r="AE24" s="141" t="s">
        <v>430</v>
      </c>
      <c r="AF24" s="141" t="s">
        <v>245</v>
      </c>
      <c r="AG24" s="141" t="s">
        <v>431</v>
      </c>
    </row>
    <row r="25" spans="1:36" x14ac:dyDescent="0.25">
      <c r="AB25" t="s">
        <v>383</v>
      </c>
      <c r="AC25">
        <v>7</v>
      </c>
      <c r="AD25">
        <v>25523936142.84219</v>
      </c>
      <c r="AE25">
        <v>3646276591.8345985</v>
      </c>
      <c r="AF25">
        <v>689195811.81385922</v>
      </c>
      <c r="AG25">
        <v>1.450966448061826E-9</v>
      </c>
    </row>
    <row r="26" spans="1:36" x14ac:dyDescent="0.25">
      <c r="AB26" t="s">
        <v>434</v>
      </c>
      <c r="AC26">
        <v>2</v>
      </c>
      <c r="AD26">
        <v>10.581249999874926</v>
      </c>
      <c r="AE26">
        <v>5.2906249999374628</v>
      </c>
    </row>
    <row r="27" spans="1:36" ht="13" x14ac:dyDescent="0.3">
      <c r="J27" s="332"/>
      <c r="K27" s="422" t="s">
        <v>551</v>
      </c>
      <c r="L27" s="422"/>
      <c r="M27" s="422"/>
      <c r="N27" s="422"/>
      <c r="O27" s="422"/>
      <c r="P27" s="422"/>
      <c r="Q27" s="422"/>
      <c r="AB27" s="119" t="s">
        <v>436</v>
      </c>
      <c r="AC27" s="119">
        <v>9</v>
      </c>
      <c r="AD27" s="119">
        <v>25523936153.423439</v>
      </c>
      <c r="AE27" s="119"/>
      <c r="AF27" s="119"/>
      <c r="AG27" s="119"/>
    </row>
    <row r="28" spans="1:36" ht="13" x14ac:dyDescent="0.3">
      <c r="J28" s="77" t="s">
        <v>552</v>
      </c>
      <c r="K28" s="67" t="s">
        <v>532</v>
      </c>
      <c r="L28" s="67" t="s">
        <v>533</v>
      </c>
      <c r="M28" s="67" t="s">
        <v>610</v>
      </c>
      <c r="N28" s="67" t="s">
        <v>724</v>
      </c>
      <c r="O28" s="67" t="s">
        <v>725</v>
      </c>
      <c r="P28" s="67" t="s">
        <v>726</v>
      </c>
      <c r="Q28" s="67" t="s">
        <v>727</v>
      </c>
      <c r="R28" s="365" t="s">
        <v>122</v>
      </c>
    </row>
    <row r="29" spans="1:36" ht="13" x14ac:dyDescent="0.3">
      <c r="J29" s="367">
        <v>1</v>
      </c>
      <c r="K29" s="69">
        <v>-1</v>
      </c>
      <c r="L29" s="69">
        <v>-1</v>
      </c>
      <c r="M29" s="69">
        <v>-1</v>
      </c>
      <c r="N29" s="69">
        <f t="shared" ref="N29:N38" si="4">+K29*L29</f>
        <v>1</v>
      </c>
      <c r="O29" s="69">
        <f t="shared" ref="O29:O38" si="5">+K29*M29</f>
        <v>1</v>
      </c>
      <c r="P29" s="69">
        <f t="shared" ref="P29:P38" si="6">+L29*M29</f>
        <v>1</v>
      </c>
      <c r="Q29" s="69">
        <f t="shared" ref="Q29:Q38" si="7">+K29*L29*M29</f>
        <v>-1</v>
      </c>
      <c r="R29" s="129">
        <v>-93418.09</v>
      </c>
      <c r="AB29" s="141"/>
      <c r="AC29" s="141" t="s">
        <v>438</v>
      </c>
      <c r="AD29" s="141" t="s">
        <v>425</v>
      </c>
      <c r="AE29" s="141" t="s">
        <v>439</v>
      </c>
      <c r="AF29" s="141" t="s">
        <v>440</v>
      </c>
      <c r="AG29" s="141" t="s">
        <v>441</v>
      </c>
      <c r="AH29" s="141" t="s">
        <v>442</v>
      </c>
      <c r="AI29" s="141" t="s">
        <v>566</v>
      </c>
      <c r="AJ29" s="141" t="s">
        <v>567</v>
      </c>
    </row>
    <row r="30" spans="1:36" ht="13" x14ac:dyDescent="0.3">
      <c r="J30" s="67">
        <v>2</v>
      </c>
      <c r="K30" s="70">
        <v>-1</v>
      </c>
      <c r="L30" s="70">
        <v>-1</v>
      </c>
      <c r="M30" s="70">
        <v>1</v>
      </c>
      <c r="N30" s="70">
        <f t="shared" si="4"/>
        <v>1</v>
      </c>
      <c r="O30" s="70">
        <f t="shared" si="5"/>
        <v>-1</v>
      </c>
      <c r="P30" s="70">
        <f t="shared" si="6"/>
        <v>-1</v>
      </c>
      <c r="Q30" s="70">
        <f t="shared" si="7"/>
        <v>1</v>
      </c>
      <c r="R30">
        <v>-93417.47</v>
      </c>
      <c r="AB30" t="s">
        <v>445</v>
      </c>
      <c r="AC30">
        <v>-109601.88187500001</v>
      </c>
      <c r="AD30">
        <v>0.7606984352344629</v>
      </c>
      <c r="AE30">
        <v>-144080.59330530692</v>
      </c>
      <c r="AF30">
        <v>4.8171372848539066E-11</v>
      </c>
      <c r="AG30">
        <v>-109605.15489619873</v>
      </c>
      <c r="AH30">
        <v>-109598.60885380128</v>
      </c>
      <c r="AI30">
        <v>-109605.15489619873</v>
      </c>
      <c r="AJ30">
        <v>-109598.60885380128</v>
      </c>
    </row>
    <row r="31" spans="1:36" ht="13" x14ac:dyDescent="0.3">
      <c r="J31" s="67">
        <v>3</v>
      </c>
      <c r="K31" s="70">
        <v>-1</v>
      </c>
      <c r="L31" s="70">
        <v>1</v>
      </c>
      <c r="M31" s="70">
        <v>-1</v>
      </c>
      <c r="N31" s="70">
        <f t="shared" si="4"/>
        <v>-1</v>
      </c>
      <c r="O31" s="70">
        <f t="shared" si="5"/>
        <v>1</v>
      </c>
      <c r="P31" s="70">
        <f t="shared" si="6"/>
        <v>-1</v>
      </c>
      <c r="Q31" s="70">
        <f t="shared" si="7"/>
        <v>1</v>
      </c>
      <c r="R31">
        <v>-130972.7</v>
      </c>
      <c r="AB31" t="s">
        <v>529</v>
      </c>
      <c r="AC31">
        <v>-0.11937499999661982</v>
      </c>
      <c r="AD31">
        <v>0.76069843523446268</v>
      </c>
      <c r="AE31">
        <v>-0.15692815242853239</v>
      </c>
      <c r="AF31" s="368">
        <v>0.88971196244083317</v>
      </c>
      <c r="AG31">
        <v>-3.3923961987184428</v>
      </c>
      <c r="AH31">
        <v>3.1536461987252031</v>
      </c>
      <c r="AI31">
        <v>-3.3923961987184428</v>
      </c>
      <c r="AJ31">
        <v>3.1536461987252031</v>
      </c>
    </row>
    <row r="32" spans="1:36" ht="13" x14ac:dyDescent="0.3">
      <c r="J32" s="367">
        <v>4</v>
      </c>
      <c r="K32" s="69">
        <v>-1</v>
      </c>
      <c r="L32" s="69">
        <v>1</v>
      </c>
      <c r="M32" s="69">
        <v>1</v>
      </c>
      <c r="N32" s="69">
        <f t="shared" si="4"/>
        <v>-1</v>
      </c>
      <c r="O32" s="69">
        <f t="shared" si="5"/>
        <v>-1</v>
      </c>
      <c r="P32" s="69">
        <f t="shared" si="6"/>
        <v>1</v>
      </c>
      <c r="Q32" s="69">
        <f t="shared" si="7"/>
        <v>-1</v>
      </c>
      <c r="R32" s="129">
        <v>-130975.2</v>
      </c>
      <c r="AB32" t="s">
        <v>531</v>
      </c>
      <c r="AC32">
        <v>0.3681249999916012</v>
      </c>
      <c r="AD32">
        <v>0.76069843523446279</v>
      </c>
      <c r="AE32">
        <v>0.48393027110426162</v>
      </c>
      <c r="AF32" s="368">
        <v>0.67624023030932656</v>
      </c>
      <c r="AG32">
        <v>-2.9048961987302224</v>
      </c>
      <c r="AH32">
        <v>3.6411461987134248</v>
      </c>
      <c r="AI32">
        <v>-2.9048961987302224</v>
      </c>
      <c r="AJ32">
        <v>3.6411461987134248</v>
      </c>
    </row>
    <row r="33" spans="10:36" ht="13" x14ac:dyDescent="0.3">
      <c r="J33" s="67">
        <v>5</v>
      </c>
      <c r="K33" s="70">
        <v>1</v>
      </c>
      <c r="L33" s="70">
        <v>-1</v>
      </c>
      <c r="M33" s="70">
        <v>-1</v>
      </c>
      <c r="N33" s="70">
        <f t="shared" si="4"/>
        <v>-1</v>
      </c>
      <c r="O33" s="70">
        <f t="shared" si="5"/>
        <v>-1</v>
      </c>
      <c r="P33" s="70">
        <f t="shared" si="6"/>
        <v>1</v>
      </c>
      <c r="Q33" s="70">
        <f t="shared" si="7"/>
        <v>1</v>
      </c>
      <c r="R33">
        <v>-170317.7</v>
      </c>
      <c r="AB33" s="237" t="s">
        <v>532</v>
      </c>
      <c r="AC33" s="237">
        <v>2593.6406249999959</v>
      </c>
      <c r="AD33" s="237">
        <v>0.76069843523446279</v>
      </c>
      <c r="AE33" s="237">
        <v>3409.5516762836287</v>
      </c>
      <c r="AF33" s="369">
        <v>8.6021178797239014E-8</v>
      </c>
      <c r="AG33">
        <v>2590.3676038012741</v>
      </c>
      <c r="AH33">
        <v>2596.9136461987177</v>
      </c>
      <c r="AI33">
        <v>2590.3676038012741</v>
      </c>
      <c r="AJ33">
        <v>2596.9136461987177</v>
      </c>
    </row>
    <row r="34" spans="10:36" ht="13" x14ac:dyDescent="0.3">
      <c r="J34" s="367">
        <v>6</v>
      </c>
      <c r="K34" s="69">
        <v>1</v>
      </c>
      <c r="L34" s="69">
        <v>-1</v>
      </c>
      <c r="M34" s="69">
        <v>1</v>
      </c>
      <c r="N34" s="69">
        <f t="shared" si="4"/>
        <v>-1</v>
      </c>
      <c r="O34" s="69">
        <f t="shared" si="5"/>
        <v>1</v>
      </c>
      <c r="P34" s="69">
        <f t="shared" si="6"/>
        <v>-1</v>
      </c>
      <c r="Q34" s="69">
        <f t="shared" si="7"/>
        <v>-1</v>
      </c>
      <c r="R34" s="129">
        <v>-170314.4</v>
      </c>
      <c r="AB34" s="237" t="s">
        <v>533</v>
      </c>
      <c r="AC34" s="237">
        <v>22266.190625000021</v>
      </c>
      <c r="AD34" s="237">
        <v>0.76069843523446257</v>
      </c>
      <c r="AE34" s="237">
        <v>29270.719635616359</v>
      </c>
      <c r="AF34" s="369">
        <v>1.1671675358126246E-9</v>
      </c>
      <c r="AG34">
        <v>22262.917603801299</v>
      </c>
      <c r="AH34">
        <v>22269.463646198743</v>
      </c>
      <c r="AI34">
        <v>22262.917603801299</v>
      </c>
      <c r="AJ34">
        <v>22269.463646198743</v>
      </c>
    </row>
    <row r="35" spans="10:36" ht="13" x14ac:dyDescent="0.3">
      <c r="J35" s="367">
        <v>7</v>
      </c>
      <c r="K35" s="69">
        <v>1</v>
      </c>
      <c r="L35" s="69">
        <v>1</v>
      </c>
      <c r="M35" s="69">
        <v>-1</v>
      </c>
      <c r="N35" s="69">
        <f t="shared" si="4"/>
        <v>1</v>
      </c>
      <c r="O35" s="69">
        <f t="shared" si="5"/>
        <v>-1</v>
      </c>
      <c r="P35" s="69">
        <f t="shared" si="6"/>
        <v>-1</v>
      </c>
      <c r="Q35" s="69">
        <f t="shared" si="7"/>
        <v>-1</v>
      </c>
      <c r="R35" s="129">
        <v>-43697.29</v>
      </c>
      <c r="AB35" t="s">
        <v>534</v>
      </c>
      <c r="AC35">
        <v>0.31812500000239108</v>
      </c>
      <c r="AD35">
        <v>0.76069843523446257</v>
      </c>
      <c r="AE35">
        <v>0.41820120203657124</v>
      </c>
      <c r="AF35" s="368">
        <v>0.71642600320525296</v>
      </c>
      <c r="AG35">
        <v>-2.9548961987194313</v>
      </c>
      <c r="AH35">
        <v>3.5911461987242137</v>
      </c>
      <c r="AI35">
        <v>-2.9548961987194313</v>
      </c>
      <c r="AJ35">
        <v>3.5911461987242137</v>
      </c>
    </row>
    <row r="36" spans="10:36" ht="13" x14ac:dyDescent="0.3">
      <c r="J36" s="67">
        <v>8</v>
      </c>
      <c r="K36" s="70">
        <v>1</v>
      </c>
      <c r="L36" s="70">
        <v>1</v>
      </c>
      <c r="M36" s="70">
        <v>1</v>
      </c>
      <c r="N36" s="70">
        <f t="shared" si="4"/>
        <v>1</v>
      </c>
      <c r="O36" s="70">
        <f t="shared" si="5"/>
        <v>1</v>
      </c>
      <c r="P36" s="70">
        <f t="shared" si="6"/>
        <v>1</v>
      </c>
      <c r="Q36" s="70">
        <f t="shared" si="7"/>
        <v>1</v>
      </c>
      <c r="R36">
        <v>-43697.56</v>
      </c>
      <c r="AB36" t="s">
        <v>245</v>
      </c>
      <c r="AC36">
        <v>0.2306249999950066</v>
      </c>
      <c r="AD36">
        <v>0.76069843523446257</v>
      </c>
      <c r="AE36">
        <v>0.30317533113358297</v>
      </c>
      <c r="AF36" s="368">
        <v>0.79038526213599358</v>
      </c>
      <c r="AG36">
        <v>-3.042396198726816</v>
      </c>
      <c r="AH36">
        <v>3.503646198716829</v>
      </c>
      <c r="AI36">
        <v>-3.042396198726816</v>
      </c>
      <c r="AJ36">
        <v>3.503646198716829</v>
      </c>
    </row>
    <row r="37" spans="10:36" x14ac:dyDescent="0.25">
      <c r="K37" s="70">
        <v>1</v>
      </c>
      <c r="L37" s="70">
        <v>-1</v>
      </c>
      <c r="M37" s="70">
        <v>-1</v>
      </c>
      <c r="N37" s="70">
        <f t="shared" si="4"/>
        <v>-1</v>
      </c>
      <c r="O37" s="70">
        <f t="shared" si="5"/>
        <v>-1</v>
      </c>
      <c r="P37" s="70">
        <f t="shared" si="6"/>
        <v>1</v>
      </c>
      <c r="Q37" s="70">
        <f t="shared" si="7"/>
        <v>1</v>
      </c>
      <c r="R37">
        <v>-170320.8</v>
      </c>
      <c r="AB37" s="370" t="s">
        <v>610</v>
      </c>
      <c r="AC37" s="370">
        <v>41043.668125000004</v>
      </c>
      <c r="AD37" s="370">
        <v>0.76069843523446279</v>
      </c>
      <c r="AE37" s="370">
        <v>53955.241951233285</v>
      </c>
      <c r="AF37" s="371">
        <v>3.4350472159680702E-10</v>
      </c>
      <c r="AG37" s="119">
        <v>41040.395103801282</v>
      </c>
      <c r="AH37" s="119">
        <v>41046.941146198726</v>
      </c>
      <c r="AI37" s="119">
        <v>41040.395103801282</v>
      </c>
      <c r="AJ37" s="119">
        <v>41046.941146198726</v>
      </c>
    </row>
    <row r="38" spans="10:36" x14ac:dyDescent="0.25">
      <c r="K38" s="70">
        <v>1</v>
      </c>
      <c r="L38" s="70">
        <v>1</v>
      </c>
      <c r="M38" s="70">
        <v>1</v>
      </c>
      <c r="N38" s="70">
        <f t="shared" si="4"/>
        <v>1</v>
      </c>
      <c r="O38" s="70">
        <f t="shared" si="5"/>
        <v>1</v>
      </c>
      <c r="P38" s="70">
        <f t="shared" si="6"/>
        <v>1</v>
      </c>
      <c r="Q38" s="70">
        <f t="shared" si="7"/>
        <v>1</v>
      </c>
      <c r="R38">
        <v>-43698.3</v>
      </c>
    </row>
    <row r="39" spans="10:36" x14ac:dyDescent="0.25">
      <c r="K39" s="70"/>
      <c r="L39" s="70"/>
      <c r="M39" s="70"/>
      <c r="N39" s="70"/>
      <c r="O39" s="70"/>
      <c r="P39" s="70"/>
      <c r="Q39" s="70"/>
    </row>
    <row r="40" spans="10:36" x14ac:dyDescent="0.25">
      <c r="K40" s="70"/>
      <c r="L40" s="70"/>
      <c r="M40" s="70"/>
      <c r="N40" s="70"/>
      <c r="O40" s="70"/>
      <c r="P40" s="70"/>
      <c r="Q40" s="70"/>
    </row>
    <row r="42" spans="10:36" x14ac:dyDescent="0.25">
      <c r="AB42" t="s">
        <v>415</v>
      </c>
    </row>
    <row r="44" spans="10:36" ht="13" x14ac:dyDescent="0.3">
      <c r="AB44" s="406" t="s">
        <v>417</v>
      </c>
      <c r="AC44" s="406"/>
    </row>
    <row r="45" spans="10:36" x14ac:dyDescent="0.25">
      <c r="AB45" t="s">
        <v>419</v>
      </c>
      <c r="AC45">
        <v>0.99999999990050914</v>
      </c>
    </row>
    <row r="46" spans="10:36" x14ac:dyDescent="0.25">
      <c r="AB46" t="s">
        <v>421</v>
      </c>
      <c r="AC46">
        <v>0.99999999980101839</v>
      </c>
    </row>
    <row r="47" spans="10:36" x14ac:dyDescent="0.25">
      <c r="AB47" t="s">
        <v>423</v>
      </c>
      <c r="AC47">
        <v>0.9999999991045827</v>
      </c>
    </row>
    <row r="48" spans="10:36" x14ac:dyDescent="0.25">
      <c r="AB48" t="s">
        <v>425</v>
      </c>
      <c r="AC48">
        <v>1.59354949718101</v>
      </c>
    </row>
    <row r="49" spans="28:36" x14ac:dyDescent="0.25">
      <c r="AB49" s="119" t="s">
        <v>216</v>
      </c>
      <c r="AC49" s="119">
        <v>10</v>
      </c>
    </row>
    <row r="51" spans="28:36" x14ac:dyDescent="0.25">
      <c r="AB51" t="s">
        <v>428</v>
      </c>
    </row>
    <row r="52" spans="28:36" ht="13" x14ac:dyDescent="0.3">
      <c r="AB52" s="141"/>
      <c r="AC52" s="141" t="s">
        <v>219</v>
      </c>
      <c r="AD52" s="141" t="s">
        <v>429</v>
      </c>
      <c r="AE52" s="141" t="s">
        <v>430</v>
      </c>
      <c r="AF52" s="141" t="s">
        <v>245</v>
      </c>
      <c r="AG52" s="141" t="s">
        <v>431</v>
      </c>
    </row>
    <row r="53" spans="28:36" x14ac:dyDescent="0.25">
      <c r="AB53" t="s">
        <v>383</v>
      </c>
      <c r="AC53">
        <v>7</v>
      </c>
      <c r="AD53">
        <v>25523972426.493889</v>
      </c>
      <c r="AE53">
        <v>3646281775.2134128</v>
      </c>
      <c r="AF53">
        <v>1435883191.0145893</v>
      </c>
      <c r="AG53">
        <v>6.96435480148702E-10</v>
      </c>
    </row>
    <row r="54" spans="28:36" x14ac:dyDescent="0.25">
      <c r="AB54" t="s">
        <v>434</v>
      </c>
      <c r="AC54">
        <v>2</v>
      </c>
      <c r="AD54">
        <v>5.0787999999317002</v>
      </c>
      <c r="AE54">
        <v>2.5393999999658501</v>
      </c>
    </row>
    <row r="55" spans="28:36" x14ac:dyDescent="0.25">
      <c r="AB55" s="119" t="s">
        <v>436</v>
      </c>
      <c r="AC55" s="119">
        <v>9</v>
      </c>
      <c r="AD55" s="119">
        <v>25523972431.572689</v>
      </c>
      <c r="AE55" s="119"/>
      <c r="AF55" s="119"/>
      <c r="AG55" s="119"/>
    </row>
    <row r="57" spans="28:36" ht="13" x14ac:dyDescent="0.3">
      <c r="AB57" s="141"/>
      <c r="AC57" s="141" t="s">
        <v>438</v>
      </c>
      <c r="AD57" s="141" t="s">
        <v>425</v>
      </c>
      <c r="AE57" s="141" t="s">
        <v>439</v>
      </c>
      <c r="AF57" s="141" t="s">
        <v>440</v>
      </c>
      <c r="AG57" s="141" t="s">
        <v>441</v>
      </c>
      <c r="AH57" s="141" t="s">
        <v>442</v>
      </c>
      <c r="AI57" s="141" t="s">
        <v>566</v>
      </c>
      <c r="AJ57" s="141" t="s">
        <v>567</v>
      </c>
    </row>
    <row r="58" spans="28:36" x14ac:dyDescent="0.25">
      <c r="AB58" t="s">
        <v>445</v>
      </c>
      <c r="AC58">
        <v>-109601.54125000002</v>
      </c>
      <c r="AD58">
        <v>0.52701695892662215</v>
      </c>
      <c r="AE58">
        <v>-207965.87167370474</v>
      </c>
      <c r="AF58">
        <v>2.3121492179266255E-11</v>
      </c>
      <c r="AG58">
        <v>-109603.80882095687</v>
      </c>
      <c r="AH58">
        <v>-109599.27367904318</v>
      </c>
      <c r="AI58">
        <v>-109603.80882095687</v>
      </c>
      <c r="AJ58">
        <v>-109599.27367904318</v>
      </c>
    </row>
    <row r="59" spans="28:36" x14ac:dyDescent="0.25">
      <c r="AB59" s="129" t="s">
        <v>532</v>
      </c>
      <c r="AC59" s="129">
        <v>2594.3237499999996</v>
      </c>
      <c r="AD59" s="129">
        <v>0.52701695892662204</v>
      </c>
      <c r="AE59" s="129">
        <v>4922.6570531693533</v>
      </c>
      <c r="AF59" s="372">
        <v>4.126680173431022E-8</v>
      </c>
      <c r="AG59">
        <v>2592.0561790431575</v>
      </c>
      <c r="AH59">
        <v>2596.5913209568416</v>
      </c>
      <c r="AI59">
        <v>2592.0561790431575</v>
      </c>
      <c r="AJ59">
        <v>2596.5913209568416</v>
      </c>
    </row>
    <row r="60" spans="28:36" x14ac:dyDescent="0.25">
      <c r="AB60" s="129" t="s">
        <v>533</v>
      </c>
      <c r="AC60" s="129">
        <v>22265.761249999996</v>
      </c>
      <c r="AD60" s="129">
        <v>0.52701695892662204</v>
      </c>
      <c r="AE60" s="129">
        <v>42248.661779971517</v>
      </c>
      <c r="AF60" s="372">
        <v>5.6023996346067568E-10</v>
      </c>
      <c r="AG60">
        <v>22263.493679043153</v>
      </c>
      <c r="AH60">
        <v>22268.028820956839</v>
      </c>
      <c r="AI60">
        <v>22263.493679043153</v>
      </c>
      <c r="AJ60">
        <v>22268.028820956839</v>
      </c>
    </row>
    <row r="61" spans="28:36" x14ac:dyDescent="0.25">
      <c r="AB61" t="s">
        <v>610</v>
      </c>
      <c r="AC61">
        <v>0.29125000000058293</v>
      </c>
      <c r="AD61">
        <v>0.52701695892662204</v>
      </c>
      <c r="AE61">
        <v>0.55263876250542909</v>
      </c>
      <c r="AF61" s="352">
        <v>0.63602857035343741</v>
      </c>
      <c r="AG61">
        <v>-1.9763209568413114</v>
      </c>
      <c r="AH61">
        <v>2.5588209568424771</v>
      </c>
      <c r="AI61">
        <v>-1.9763209568413114</v>
      </c>
      <c r="AJ61">
        <v>2.5588209568424771</v>
      </c>
    </row>
    <row r="62" spans="28:36" x14ac:dyDescent="0.25">
      <c r="AB62" t="s">
        <v>724</v>
      </c>
      <c r="AC62">
        <v>41043.846250000002</v>
      </c>
      <c r="AD62">
        <v>0.52701695892662204</v>
      </c>
      <c r="AE62">
        <v>77879.555021519991</v>
      </c>
      <c r="AF62" s="352">
        <v>1.6487434262838725E-10</v>
      </c>
      <c r="AG62">
        <v>41041.578679043159</v>
      </c>
      <c r="AH62">
        <v>41046.113820956845</v>
      </c>
      <c r="AI62">
        <v>41041.578679043159</v>
      </c>
      <c r="AJ62">
        <v>41046.113820956845</v>
      </c>
    </row>
    <row r="63" spans="28:36" x14ac:dyDescent="0.25">
      <c r="AB63" t="s">
        <v>725</v>
      </c>
      <c r="AC63">
        <v>0.76125000000101817</v>
      </c>
      <c r="AD63">
        <v>0.52701695892662215</v>
      </c>
      <c r="AE63">
        <v>1.4444506710969216</v>
      </c>
      <c r="AF63" s="352">
        <v>0.28545386937614153</v>
      </c>
      <c r="AG63">
        <v>-1.5063209568408766</v>
      </c>
      <c r="AH63">
        <v>3.028820956842913</v>
      </c>
      <c r="AI63">
        <v>-1.5063209568408766</v>
      </c>
      <c r="AJ63">
        <v>3.028820956842913</v>
      </c>
    </row>
    <row r="64" spans="28:36" x14ac:dyDescent="0.25">
      <c r="AB64" t="s">
        <v>726</v>
      </c>
      <c r="AC64">
        <v>-1.0762499999950192</v>
      </c>
      <c r="AD64">
        <v>0.52701695892662204</v>
      </c>
      <c r="AE64">
        <v>-2.0421543970558798</v>
      </c>
      <c r="AF64" s="352">
        <v>0.17788588383862594</v>
      </c>
      <c r="AG64">
        <v>-3.3438209568369133</v>
      </c>
      <c r="AH64">
        <v>1.191320956846875</v>
      </c>
      <c r="AI64">
        <v>-3.3438209568369133</v>
      </c>
      <c r="AJ64">
        <v>1.191320956846875</v>
      </c>
    </row>
    <row r="65" spans="28:36" x14ac:dyDescent="0.25">
      <c r="AB65" s="119" t="s">
        <v>727</v>
      </c>
      <c r="AC65" s="119">
        <v>-0.29625000000629037</v>
      </c>
      <c r="AD65" s="119">
        <v>0.52701695892662215</v>
      </c>
      <c r="AE65" s="119">
        <v>-0.56212612324594657</v>
      </c>
      <c r="AF65" s="356">
        <v>0.63062642375530076</v>
      </c>
      <c r="AG65" s="119">
        <v>-2.5638209568481849</v>
      </c>
      <c r="AH65" s="119">
        <v>1.9713209568356043</v>
      </c>
      <c r="AI65" s="119">
        <v>-2.5638209568481849</v>
      </c>
      <c r="AJ65" s="119">
        <v>1.9713209568356043</v>
      </c>
    </row>
  </sheetData>
  <mergeCells count="5">
    <mergeCell ref="B3:H3"/>
    <mergeCell ref="K3:Q3"/>
    <mergeCell ref="AB16:AC16"/>
    <mergeCell ref="K27:Q27"/>
    <mergeCell ref="AB44:AC44"/>
  </mergeCells>
  <pageMargins left="0.75" right="0.75" top="1" bottom="1" header="0.51180555555555562" footer="0.51180555555555562"/>
  <pageSetup firstPageNumber="0" orientation="portrait" horizontalDpi="300" verticalDpi="300"/>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X140"/>
  <sheetViews>
    <sheetView showGridLines="0" zoomScale="85" zoomScaleNormal="85" workbookViewId="0">
      <selection activeCell="A17" sqref="A17"/>
    </sheetView>
  </sheetViews>
  <sheetFormatPr defaultRowHeight="12.5" x14ac:dyDescent="0.25"/>
  <cols>
    <col min="1" max="1" width="64.26953125" customWidth="1"/>
    <col min="6" max="8" width="8.26953125" customWidth="1"/>
    <col min="9" max="11" width="8.08984375" customWidth="1"/>
    <col min="12" max="12" width="10.54296875" customWidth="1"/>
    <col min="13" max="13" width="19" customWidth="1"/>
    <col min="14" max="15" width="8.08984375" customWidth="1"/>
    <col min="16" max="16" width="15.54296875" customWidth="1"/>
    <col min="18" max="18" width="10.81640625" customWidth="1"/>
    <col min="19" max="19" width="13.7265625" customWidth="1"/>
    <col min="20" max="21" width="19" customWidth="1"/>
    <col min="22" max="23" width="11.81640625" customWidth="1"/>
    <col min="24" max="24" width="10.54296875" customWidth="1"/>
    <col min="25" max="26" width="8.08984375" customWidth="1"/>
    <col min="27" max="27" width="10.7265625" customWidth="1"/>
    <col min="28" max="28" width="10.54296875" customWidth="1"/>
    <col min="29" max="33" width="8.54296875" customWidth="1"/>
    <col min="34" max="34" width="11.453125" customWidth="1"/>
    <col min="36" max="36" width="10.54296875" customWidth="1"/>
    <col min="37" max="77" width="14.7265625" customWidth="1"/>
    <col min="78" max="78" width="10.54296875" customWidth="1"/>
  </cols>
  <sheetData>
    <row r="1" spans="1:24" ht="40.5" customHeight="1" x14ac:dyDescent="0.4">
      <c r="A1" s="79" t="s">
        <v>110</v>
      </c>
      <c r="B1" s="80"/>
      <c r="C1" s="80"/>
      <c r="D1" s="80"/>
      <c r="E1" s="80"/>
      <c r="F1" s="80"/>
      <c r="G1" s="80"/>
      <c r="H1" s="80"/>
      <c r="P1" s="42"/>
      <c r="Q1" s="42"/>
      <c r="V1" s="16"/>
      <c r="W1" s="25"/>
      <c r="X1" s="16"/>
    </row>
    <row r="2" spans="1:24" x14ac:dyDescent="0.25">
      <c r="V2" s="16"/>
      <c r="W2" s="25"/>
      <c r="X2" s="16"/>
    </row>
    <row r="3" spans="1:24" ht="18" x14ac:dyDescent="0.4">
      <c r="A3" s="81" t="s">
        <v>111</v>
      </c>
      <c r="D3" s="82"/>
      <c r="R3" s="32"/>
      <c r="S3" s="16"/>
      <c r="T3" s="32"/>
      <c r="U3" s="32"/>
      <c r="V3" s="16"/>
      <c r="W3" s="25"/>
      <c r="X3" s="16"/>
    </row>
    <row r="4" spans="1:24" ht="14.25" customHeight="1" x14ac:dyDescent="0.25">
      <c r="V4" s="16"/>
      <c r="W4" s="25"/>
      <c r="X4" s="16"/>
    </row>
    <row r="5" spans="1:24" ht="18" x14ac:dyDescent="0.4">
      <c r="A5" s="81" t="s">
        <v>112</v>
      </c>
      <c r="P5" s="83"/>
      <c r="Q5" s="380"/>
      <c r="R5" s="380"/>
      <c r="S5" s="84"/>
      <c r="T5" s="380"/>
      <c r="U5" s="380"/>
      <c r="V5" s="84"/>
      <c r="W5" s="84"/>
      <c r="X5" s="16"/>
    </row>
    <row r="6" spans="1:24" ht="13" x14ac:dyDescent="0.3">
      <c r="A6" s="14" t="s">
        <v>113</v>
      </c>
      <c r="Q6" s="16"/>
      <c r="S6" s="32"/>
      <c r="T6" s="16"/>
      <c r="U6" s="25"/>
      <c r="V6" s="32"/>
      <c r="X6" s="16"/>
    </row>
    <row r="7" spans="1:24" ht="18" x14ac:dyDescent="0.4">
      <c r="A7" s="81" t="s">
        <v>114</v>
      </c>
      <c r="Q7" s="16"/>
      <c r="S7" s="32"/>
      <c r="T7" s="16"/>
      <c r="U7" s="25"/>
      <c r="V7" s="32"/>
      <c r="X7" s="16"/>
    </row>
    <row r="8" spans="1:24" x14ac:dyDescent="0.25">
      <c r="Q8" s="16"/>
      <c r="S8" s="32"/>
      <c r="T8" s="16"/>
      <c r="U8" s="25"/>
      <c r="V8" s="32"/>
    </row>
    <row r="12" spans="1:24" ht="15.5" x14ac:dyDescent="0.35">
      <c r="A12" s="85" t="s">
        <v>115</v>
      </c>
      <c r="E12" t="s">
        <v>116</v>
      </c>
      <c r="F12" t="s">
        <v>117</v>
      </c>
      <c r="G12" t="s">
        <v>118</v>
      </c>
      <c r="H12" t="s">
        <v>119</v>
      </c>
      <c r="I12" t="s">
        <v>120</v>
      </c>
      <c r="J12" t="s">
        <v>121</v>
      </c>
      <c r="K12" t="s">
        <v>122</v>
      </c>
    </row>
    <row r="13" spans="1:24" ht="15.5" x14ac:dyDescent="0.35">
      <c r="A13" s="86" t="s">
        <v>123</v>
      </c>
      <c r="E13">
        <v>1.1000000000000001</v>
      </c>
      <c r="F13">
        <v>10.5</v>
      </c>
      <c r="G13">
        <v>8</v>
      </c>
      <c r="H13">
        <v>2.7</v>
      </c>
      <c r="I13">
        <v>10.4</v>
      </c>
      <c r="J13">
        <v>1.8</v>
      </c>
      <c r="K13">
        <v>97.6</v>
      </c>
    </row>
    <row r="14" spans="1:24" x14ac:dyDescent="0.25">
      <c r="E14">
        <v>1.1000000000000001</v>
      </c>
      <c r="F14">
        <v>10.5</v>
      </c>
      <c r="G14">
        <v>8</v>
      </c>
      <c r="H14">
        <v>2.7</v>
      </c>
      <c r="I14">
        <v>10.4</v>
      </c>
      <c r="J14">
        <v>3.6</v>
      </c>
      <c r="K14">
        <v>101.1</v>
      </c>
    </row>
    <row r="15" spans="1:24" x14ac:dyDescent="0.25">
      <c r="E15">
        <v>1.1000000000000001</v>
      </c>
      <c r="F15">
        <v>10.5</v>
      </c>
      <c r="G15">
        <v>8</v>
      </c>
      <c r="H15">
        <v>2.7</v>
      </c>
      <c r="I15">
        <v>20.8</v>
      </c>
      <c r="J15">
        <v>1.8</v>
      </c>
      <c r="K15">
        <v>102.1</v>
      </c>
    </row>
    <row r="16" spans="1:24" x14ac:dyDescent="0.25">
      <c r="E16">
        <v>1.1000000000000001</v>
      </c>
      <c r="F16">
        <v>10.5</v>
      </c>
      <c r="G16">
        <v>8</v>
      </c>
      <c r="H16">
        <v>2.7</v>
      </c>
      <c r="I16">
        <v>20.8</v>
      </c>
      <c r="J16">
        <v>3.6</v>
      </c>
      <c r="K16">
        <v>98.8</v>
      </c>
    </row>
    <row r="17" spans="5:11" x14ac:dyDescent="0.25">
      <c r="E17">
        <v>1.1000000000000001</v>
      </c>
      <c r="F17">
        <v>10.5</v>
      </c>
      <c r="G17">
        <v>8</v>
      </c>
      <c r="H17">
        <v>5.4</v>
      </c>
      <c r="I17">
        <v>10.4</v>
      </c>
      <c r="J17">
        <v>1.8</v>
      </c>
      <c r="K17">
        <v>96.4</v>
      </c>
    </row>
    <row r="18" spans="5:11" x14ac:dyDescent="0.25">
      <c r="E18">
        <v>1.1000000000000001</v>
      </c>
      <c r="F18">
        <v>10.5</v>
      </c>
      <c r="G18">
        <v>8</v>
      </c>
      <c r="H18">
        <v>5.4</v>
      </c>
      <c r="I18">
        <v>10.4</v>
      </c>
      <c r="J18">
        <v>3.6</v>
      </c>
      <c r="K18">
        <v>84.9</v>
      </c>
    </row>
    <row r="19" spans="5:11" x14ac:dyDescent="0.25">
      <c r="E19">
        <v>1.1000000000000001</v>
      </c>
      <c r="F19">
        <v>10.5</v>
      </c>
      <c r="G19">
        <v>8</v>
      </c>
      <c r="H19">
        <v>5.4</v>
      </c>
      <c r="I19">
        <v>20.8</v>
      </c>
      <c r="J19">
        <v>1.8</v>
      </c>
      <c r="K19">
        <v>101.9</v>
      </c>
    </row>
    <row r="20" spans="5:11" x14ac:dyDescent="0.25">
      <c r="E20">
        <v>1.1000000000000001</v>
      </c>
      <c r="F20">
        <v>10.5</v>
      </c>
      <c r="G20">
        <v>8</v>
      </c>
      <c r="H20">
        <v>5.4</v>
      </c>
      <c r="I20">
        <v>20.8</v>
      </c>
      <c r="J20">
        <v>3.6</v>
      </c>
      <c r="K20">
        <v>108.2</v>
      </c>
    </row>
    <row r="21" spans="5:11" x14ac:dyDescent="0.25">
      <c r="E21">
        <v>1.1000000000000001</v>
      </c>
      <c r="F21">
        <v>10.5</v>
      </c>
      <c r="G21">
        <v>16</v>
      </c>
      <c r="H21">
        <v>2.7</v>
      </c>
      <c r="I21">
        <v>10.4</v>
      </c>
      <c r="J21">
        <v>1.8</v>
      </c>
      <c r="K21">
        <v>106.3</v>
      </c>
    </row>
    <row r="22" spans="5:11" x14ac:dyDescent="0.25">
      <c r="E22">
        <v>1.1000000000000001</v>
      </c>
      <c r="F22">
        <v>10.5</v>
      </c>
      <c r="G22">
        <v>16</v>
      </c>
      <c r="H22">
        <v>2.7</v>
      </c>
      <c r="I22">
        <v>10.4</v>
      </c>
      <c r="J22">
        <v>3.6</v>
      </c>
      <c r="K22">
        <v>92.7</v>
      </c>
    </row>
    <row r="23" spans="5:11" x14ac:dyDescent="0.25">
      <c r="E23">
        <v>1.1000000000000001</v>
      </c>
      <c r="F23">
        <v>10.5</v>
      </c>
      <c r="G23">
        <v>16</v>
      </c>
      <c r="H23">
        <v>2.7</v>
      </c>
      <c r="I23">
        <v>20.8</v>
      </c>
      <c r="J23">
        <v>1.8</v>
      </c>
      <c r="K23">
        <v>113.8</v>
      </c>
    </row>
    <row r="24" spans="5:11" x14ac:dyDescent="0.25">
      <c r="E24">
        <v>1.1000000000000001</v>
      </c>
      <c r="F24">
        <v>10.5</v>
      </c>
      <c r="G24">
        <v>16</v>
      </c>
      <c r="H24">
        <v>2.7</v>
      </c>
      <c r="I24">
        <v>20.8</v>
      </c>
      <c r="J24">
        <v>3.6</v>
      </c>
      <c r="K24">
        <v>111.5</v>
      </c>
    </row>
    <row r="25" spans="5:11" x14ac:dyDescent="0.25">
      <c r="E25">
        <v>1.1000000000000001</v>
      </c>
      <c r="F25">
        <v>10.5</v>
      </c>
      <c r="G25">
        <v>16</v>
      </c>
      <c r="H25">
        <v>5.4</v>
      </c>
      <c r="I25">
        <v>10.4</v>
      </c>
      <c r="J25">
        <v>1.8</v>
      </c>
      <c r="K25">
        <v>106.1</v>
      </c>
    </row>
    <row r="26" spans="5:11" x14ac:dyDescent="0.25">
      <c r="E26">
        <v>1.1000000000000001</v>
      </c>
      <c r="F26">
        <v>10.5</v>
      </c>
      <c r="G26">
        <v>16</v>
      </c>
      <c r="H26">
        <v>5.4</v>
      </c>
      <c r="I26">
        <v>10.4</v>
      </c>
      <c r="J26">
        <v>3.6</v>
      </c>
      <c r="K26">
        <v>100.9</v>
      </c>
    </row>
    <row r="27" spans="5:11" x14ac:dyDescent="0.25">
      <c r="E27">
        <v>1.1000000000000001</v>
      </c>
      <c r="F27">
        <v>10.5</v>
      </c>
      <c r="G27">
        <v>16</v>
      </c>
      <c r="H27">
        <v>5.4</v>
      </c>
      <c r="I27">
        <v>20.8</v>
      </c>
      <c r="J27">
        <v>1.8</v>
      </c>
      <c r="K27">
        <v>124.4</v>
      </c>
    </row>
    <row r="28" spans="5:11" x14ac:dyDescent="0.25">
      <c r="E28">
        <v>1.1000000000000001</v>
      </c>
      <c r="F28">
        <v>10.5</v>
      </c>
      <c r="G28">
        <v>16</v>
      </c>
      <c r="H28">
        <v>5.4</v>
      </c>
      <c r="I28">
        <v>20.8</v>
      </c>
      <c r="J28">
        <v>3.6</v>
      </c>
      <c r="K28">
        <v>112.9</v>
      </c>
    </row>
    <row r="29" spans="5:11" x14ac:dyDescent="0.25">
      <c r="E29">
        <v>1.1000000000000001</v>
      </c>
      <c r="F29">
        <v>21</v>
      </c>
      <c r="G29">
        <v>8</v>
      </c>
      <c r="H29">
        <v>2.7</v>
      </c>
      <c r="I29">
        <v>10.4</v>
      </c>
      <c r="J29">
        <v>1.8</v>
      </c>
      <c r="K29">
        <v>103.4</v>
      </c>
    </row>
    <row r="30" spans="5:11" x14ac:dyDescent="0.25">
      <c r="E30">
        <v>1.1000000000000001</v>
      </c>
      <c r="F30">
        <v>21</v>
      </c>
      <c r="G30">
        <v>8</v>
      </c>
      <c r="H30">
        <v>2.7</v>
      </c>
      <c r="I30">
        <v>10.4</v>
      </c>
      <c r="J30">
        <v>3.6</v>
      </c>
      <c r="K30">
        <v>103.2</v>
      </c>
    </row>
    <row r="31" spans="5:11" x14ac:dyDescent="0.25">
      <c r="E31">
        <v>1.1000000000000001</v>
      </c>
      <c r="F31">
        <v>21</v>
      </c>
      <c r="G31">
        <v>8</v>
      </c>
      <c r="H31">
        <v>2.7</v>
      </c>
      <c r="I31">
        <v>20.8</v>
      </c>
      <c r="J31">
        <v>1.8</v>
      </c>
      <c r="K31">
        <v>124.8</v>
      </c>
    </row>
    <row r="32" spans="5:11" x14ac:dyDescent="0.25">
      <c r="E32">
        <v>1.1000000000000001</v>
      </c>
      <c r="F32">
        <v>21</v>
      </c>
      <c r="G32">
        <v>8</v>
      </c>
      <c r="H32">
        <v>2.7</v>
      </c>
      <c r="I32">
        <v>20.8</v>
      </c>
      <c r="J32">
        <v>3.6</v>
      </c>
      <c r="K32">
        <v>117.3</v>
      </c>
    </row>
    <row r="33" spans="5:11" x14ac:dyDescent="0.25">
      <c r="E33">
        <v>1.1000000000000001</v>
      </c>
      <c r="F33">
        <v>21</v>
      </c>
      <c r="G33">
        <v>8</v>
      </c>
      <c r="H33">
        <v>5.4</v>
      </c>
      <c r="I33">
        <v>10.4</v>
      </c>
      <c r="J33">
        <v>1.8</v>
      </c>
      <c r="K33">
        <v>115.7</v>
      </c>
    </row>
    <row r="34" spans="5:11" x14ac:dyDescent="0.25">
      <c r="E34">
        <v>1.1000000000000001</v>
      </c>
      <c r="F34">
        <v>21</v>
      </c>
      <c r="G34">
        <v>8</v>
      </c>
      <c r="H34">
        <v>5.4</v>
      </c>
      <c r="I34">
        <v>10.4</v>
      </c>
      <c r="J34">
        <v>3.6</v>
      </c>
      <c r="K34">
        <v>120.5</v>
      </c>
    </row>
    <row r="35" spans="5:11" x14ac:dyDescent="0.25">
      <c r="E35">
        <v>1.1000000000000001</v>
      </c>
      <c r="F35">
        <v>21</v>
      </c>
      <c r="G35">
        <v>8</v>
      </c>
      <c r="H35">
        <v>5.4</v>
      </c>
      <c r="I35">
        <v>20.8</v>
      </c>
      <c r="J35">
        <v>1.8</v>
      </c>
      <c r="K35">
        <v>101.1</v>
      </c>
    </row>
    <row r="36" spans="5:11" x14ac:dyDescent="0.25">
      <c r="E36">
        <v>1.1000000000000001</v>
      </c>
      <c r="F36">
        <v>21</v>
      </c>
      <c r="G36">
        <v>8</v>
      </c>
      <c r="H36">
        <v>5.4</v>
      </c>
      <c r="I36">
        <v>20.8</v>
      </c>
      <c r="J36">
        <v>3.6</v>
      </c>
      <c r="K36">
        <v>123.2</v>
      </c>
    </row>
    <row r="37" spans="5:11" x14ac:dyDescent="0.25">
      <c r="E37">
        <v>1.1000000000000001</v>
      </c>
      <c r="F37">
        <v>21</v>
      </c>
      <c r="G37">
        <v>16</v>
      </c>
      <c r="H37">
        <v>2.7</v>
      </c>
      <c r="I37">
        <v>10.4</v>
      </c>
      <c r="J37">
        <v>1.8</v>
      </c>
      <c r="K37">
        <v>109.1</v>
      </c>
    </row>
    <row r="38" spans="5:11" x14ac:dyDescent="0.25">
      <c r="E38">
        <v>1.1000000000000001</v>
      </c>
      <c r="F38">
        <v>21</v>
      </c>
      <c r="G38">
        <v>16</v>
      </c>
      <c r="H38">
        <v>2.7</v>
      </c>
      <c r="I38">
        <v>10.4</v>
      </c>
      <c r="J38">
        <v>3.6</v>
      </c>
      <c r="K38">
        <v>109.3</v>
      </c>
    </row>
    <row r="39" spans="5:11" x14ac:dyDescent="0.25">
      <c r="E39">
        <v>1.1000000000000001</v>
      </c>
      <c r="F39">
        <v>21</v>
      </c>
      <c r="G39">
        <v>16</v>
      </c>
      <c r="H39">
        <v>2.7</v>
      </c>
      <c r="I39">
        <v>20.8</v>
      </c>
      <c r="J39">
        <v>1.8</v>
      </c>
      <c r="K39">
        <v>112</v>
      </c>
    </row>
    <row r="40" spans="5:11" x14ac:dyDescent="0.25">
      <c r="E40">
        <v>1.1000000000000001</v>
      </c>
      <c r="F40">
        <v>21</v>
      </c>
      <c r="G40">
        <v>16</v>
      </c>
      <c r="H40">
        <v>2.7</v>
      </c>
      <c r="I40">
        <v>20.8</v>
      </c>
      <c r="J40">
        <v>3.6</v>
      </c>
      <c r="K40">
        <v>128.9</v>
      </c>
    </row>
    <row r="41" spans="5:11" x14ac:dyDescent="0.25">
      <c r="E41">
        <v>1.1000000000000001</v>
      </c>
      <c r="F41">
        <v>21</v>
      </c>
      <c r="G41">
        <v>16</v>
      </c>
      <c r="H41">
        <v>5.4</v>
      </c>
      <c r="I41">
        <v>10.4</v>
      </c>
      <c r="J41">
        <v>1.8</v>
      </c>
      <c r="K41">
        <v>118.3</v>
      </c>
    </row>
    <row r="42" spans="5:11" x14ac:dyDescent="0.25">
      <c r="E42">
        <v>1.1000000000000001</v>
      </c>
      <c r="F42">
        <v>21</v>
      </c>
      <c r="G42">
        <v>16</v>
      </c>
      <c r="H42">
        <v>5.4</v>
      </c>
      <c r="I42">
        <v>10.4</v>
      </c>
      <c r="J42">
        <v>3.6</v>
      </c>
      <c r="K42">
        <v>112.5</v>
      </c>
    </row>
    <row r="43" spans="5:11" x14ac:dyDescent="0.25">
      <c r="E43">
        <v>1.1000000000000001</v>
      </c>
      <c r="F43">
        <v>21</v>
      </c>
      <c r="G43">
        <v>16</v>
      </c>
      <c r="H43">
        <v>5.4</v>
      </c>
      <c r="I43">
        <v>20.8</v>
      </c>
      <c r="J43">
        <v>1.8</v>
      </c>
      <c r="K43">
        <v>131.30000000000001</v>
      </c>
    </row>
    <row r="44" spans="5:11" x14ac:dyDescent="0.25">
      <c r="E44">
        <v>1.1000000000000001</v>
      </c>
      <c r="F44">
        <v>21</v>
      </c>
      <c r="G44">
        <v>16</v>
      </c>
      <c r="H44">
        <v>5.4</v>
      </c>
      <c r="I44">
        <v>20.8</v>
      </c>
      <c r="J44">
        <v>3.6</v>
      </c>
      <c r="K44">
        <v>134.19999999999999</v>
      </c>
    </row>
    <row r="45" spans="5:11" x14ac:dyDescent="0.25">
      <c r="E45">
        <v>2.2000000000000002</v>
      </c>
      <c r="F45">
        <v>10.5</v>
      </c>
      <c r="G45">
        <v>8</v>
      </c>
      <c r="H45">
        <v>2.7</v>
      </c>
      <c r="I45">
        <v>10.4</v>
      </c>
      <c r="J45">
        <v>1.8</v>
      </c>
      <c r="K45">
        <v>87.1</v>
      </c>
    </row>
    <row r="46" spans="5:11" x14ac:dyDescent="0.25">
      <c r="E46">
        <v>2.2000000000000002</v>
      </c>
      <c r="F46">
        <v>10.5</v>
      </c>
      <c r="G46">
        <v>8</v>
      </c>
      <c r="H46">
        <v>2.7</v>
      </c>
      <c r="I46">
        <v>10.4</v>
      </c>
      <c r="J46">
        <v>3.6</v>
      </c>
      <c r="K46">
        <v>100</v>
      </c>
    </row>
    <row r="47" spans="5:11" x14ac:dyDescent="0.25">
      <c r="E47">
        <v>2.2000000000000002</v>
      </c>
      <c r="F47">
        <v>10.5</v>
      </c>
      <c r="G47">
        <v>8</v>
      </c>
      <c r="H47">
        <v>2.7</v>
      </c>
      <c r="I47">
        <v>20.8</v>
      </c>
      <c r="J47">
        <v>1.8</v>
      </c>
      <c r="K47">
        <v>105.6</v>
      </c>
    </row>
    <row r="48" spans="5:11" x14ac:dyDescent="0.25">
      <c r="E48">
        <v>2.2000000000000002</v>
      </c>
      <c r="F48">
        <v>10.5</v>
      </c>
      <c r="G48">
        <v>8</v>
      </c>
      <c r="H48">
        <v>2.7</v>
      </c>
      <c r="I48">
        <v>20.8</v>
      </c>
      <c r="J48">
        <v>3.6</v>
      </c>
      <c r="K48">
        <v>101.3</v>
      </c>
    </row>
    <row r="49" spans="5:11" x14ac:dyDescent="0.25">
      <c r="E49">
        <v>2.2000000000000002</v>
      </c>
      <c r="F49">
        <v>10.5</v>
      </c>
      <c r="G49">
        <v>8</v>
      </c>
      <c r="H49">
        <v>5.4</v>
      </c>
      <c r="I49">
        <v>10.4</v>
      </c>
      <c r="J49">
        <v>1.8</v>
      </c>
      <c r="K49">
        <v>89.7</v>
      </c>
    </row>
    <row r="50" spans="5:11" x14ac:dyDescent="0.25">
      <c r="E50">
        <v>2.2000000000000002</v>
      </c>
      <c r="F50">
        <v>10.5</v>
      </c>
      <c r="G50">
        <v>8</v>
      </c>
      <c r="H50">
        <v>5.4</v>
      </c>
      <c r="I50">
        <v>10.4</v>
      </c>
      <c r="J50">
        <v>3.6</v>
      </c>
      <c r="K50">
        <v>98.7</v>
      </c>
    </row>
    <row r="51" spans="5:11" x14ac:dyDescent="0.25">
      <c r="E51">
        <v>2.2000000000000002</v>
      </c>
      <c r="F51">
        <v>10.5</v>
      </c>
      <c r="G51">
        <v>8</v>
      </c>
      <c r="H51">
        <v>5.4</v>
      </c>
      <c r="I51">
        <v>20.8</v>
      </c>
      <c r="J51">
        <v>1.8</v>
      </c>
      <c r="K51">
        <v>117.6</v>
      </c>
    </row>
    <row r="52" spans="5:11" x14ac:dyDescent="0.25">
      <c r="E52">
        <v>2.2000000000000002</v>
      </c>
      <c r="F52">
        <v>10.5</v>
      </c>
      <c r="G52">
        <v>8</v>
      </c>
      <c r="H52">
        <v>5.4</v>
      </c>
      <c r="I52">
        <v>20.8</v>
      </c>
      <c r="J52">
        <v>3.6</v>
      </c>
      <c r="K52">
        <v>114.2</v>
      </c>
    </row>
    <row r="53" spans="5:11" x14ac:dyDescent="0.25">
      <c r="E53">
        <v>2.2000000000000002</v>
      </c>
      <c r="F53">
        <v>10.5</v>
      </c>
      <c r="G53">
        <v>16</v>
      </c>
      <c r="H53">
        <v>2.7</v>
      </c>
      <c r="I53">
        <v>10.4</v>
      </c>
      <c r="J53">
        <v>1.8</v>
      </c>
      <c r="K53">
        <v>98.2</v>
      </c>
    </row>
    <row r="54" spans="5:11" x14ac:dyDescent="0.25">
      <c r="E54">
        <v>2.2000000000000002</v>
      </c>
      <c r="F54">
        <v>10.5</v>
      </c>
      <c r="G54">
        <v>16</v>
      </c>
      <c r="H54">
        <v>2.7</v>
      </c>
      <c r="I54">
        <v>10.4</v>
      </c>
      <c r="J54">
        <v>3.6</v>
      </c>
      <c r="K54">
        <v>111.4</v>
      </c>
    </row>
    <row r="55" spans="5:11" x14ac:dyDescent="0.25">
      <c r="E55">
        <v>2.2000000000000002</v>
      </c>
      <c r="F55">
        <v>10.5</v>
      </c>
      <c r="G55">
        <v>16</v>
      </c>
      <c r="H55">
        <v>2.7</v>
      </c>
      <c r="I55">
        <v>20.8</v>
      </c>
      <c r="J55">
        <v>1.8</v>
      </c>
      <c r="K55">
        <v>112.1</v>
      </c>
    </row>
    <row r="56" spans="5:11" x14ac:dyDescent="0.25">
      <c r="E56">
        <v>2.2000000000000002</v>
      </c>
      <c r="F56">
        <v>10.5</v>
      </c>
      <c r="G56">
        <v>16</v>
      </c>
      <c r="H56">
        <v>2.7</v>
      </c>
      <c r="I56">
        <v>20.8</v>
      </c>
      <c r="J56">
        <v>3.6</v>
      </c>
      <c r="K56">
        <v>117.6</v>
      </c>
    </row>
    <row r="57" spans="5:11" x14ac:dyDescent="0.25">
      <c r="E57">
        <v>2.2000000000000002</v>
      </c>
      <c r="F57">
        <v>10.5</v>
      </c>
      <c r="G57">
        <v>16</v>
      </c>
      <c r="H57">
        <v>5.4</v>
      </c>
      <c r="I57">
        <v>10.4</v>
      </c>
      <c r="J57">
        <v>1.8</v>
      </c>
      <c r="K57">
        <v>113.2</v>
      </c>
    </row>
    <row r="58" spans="5:11" x14ac:dyDescent="0.25">
      <c r="E58">
        <v>2.2000000000000002</v>
      </c>
      <c r="F58">
        <v>10.5</v>
      </c>
      <c r="G58">
        <v>16</v>
      </c>
      <c r="H58">
        <v>5.4</v>
      </c>
      <c r="I58">
        <v>10.4</v>
      </c>
      <c r="J58">
        <v>3.6</v>
      </c>
      <c r="K58">
        <v>107.7</v>
      </c>
    </row>
    <row r="59" spans="5:11" x14ac:dyDescent="0.25">
      <c r="E59">
        <v>2.2000000000000002</v>
      </c>
      <c r="F59">
        <v>10.5</v>
      </c>
      <c r="G59">
        <v>16</v>
      </c>
      <c r="H59">
        <v>5.4</v>
      </c>
      <c r="I59">
        <v>20.8</v>
      </c>
      <c r="J59">
        <v>1.8</v>
      </c>
      <c r="K59">
        <v>108.9</v>
      </c>
    </row>
    <row r="60" spans="5:11" x14ac:dyDescent="0.25">
      <c r="E60">
        <v>2.2000000000000002</v>
      </c>
      <c r="F60">
        <v>10.5</v>
      </c>
      <c r="G60">
        <v>16</v>
      </c>
      <c r="H60">
        <v>5.4</v>
      </c>
      <c r="I60">
        <v>20.8</v>
      </c>
      <c r="J60">
        <v>3.6</v>
      </c>
      <c r="K60">
        <v>117.8</v>
      </c>
    </row>
    <row r="61" spans="5:11" x14ac:dyDescent="0.25">
      <c r="E61">
        <v>2.2000000000000002</v>
      </c>
      <c r="F61">
        <v>21</v>
      </c>
      <c r="G61">
        <v>8</v>
      </c>
      <c r="H61">
        <v>2.7</v>
      </c>
      <c r="I61">
        <v>10.4</v>
      </c>
      <c r="J61">
        <v>1.8</v>
      </c>
      <c r="K61">
        <v>105.5</v>
      </c>
    </row>
    <row r="62" spans="5:11" x14ac:dyDescent="0.25">
      <c r="E62">
        <v>2.2000000000000002</v>
      </c>
      <c r="F62">
        <v>21</v>
      </c>
      <c r="G62">
        <v>8</v>
      </c>
      <c r="H62">
        <v>2.7</v>
      </c>
      <c r="I62">
        <v>10.4</v>
      </c>
      <c r="J62">
        <v>3.6</v>
      </c>
      <c r="K62">
        <v>103.2</v>
      </c>
    </row>
    <row r="63" spans="5:11" x14ac:dyDescent="0.25">
      <c r="E63">
        <v>2.2000000000000002</v>
      </c>
      <c r="F63">
        <v>21</v>
      </c>
      <c r="G63">
        <v>8</v>
      </c>
      <c r="H63">
        <v>2.7</v>
      </c>
      <c r="I63">
        <v>20.8</v>
      </c>
      <c r="J63">
        <v>1.8</v>
      </c>
      <c r="K63">
        <v>111.2</v>
      </c>
    </row>
    <row r="64" spans="5:11" x14ac:dyDescent="0.25">
      <c r="E64">
        <v>2.2000000000000002</v>
      </c>
      <c r="F64">
        <v>21</v>
      </c>
      <c r="G64">
        <v>8</v>
      </c>
      <c r="H64">
        <v>2.7</v>
      </c>
      <c r="I64">
        <v>20.8</v>
      </c>
      <c r="J64">
        <v>3.6</v>
      </c>
      <c r="K64">
        <v>112.7</v>
      </c>
    </row>
    <row r="65" spans="5:11" x14ac:dyDescent="0.25">
      <c r="E65">
        <v>2.2000000000000002</v>
      </c>
      <c r="F65">
        <v>21</v>
      </c>
      <c r="G65">
        <v>8</v>
      </c>
      <c r="H65">
        <v>5.4</v>
      </c>
      <c r="I65">
        <v>10.4</v>
      </c>
      <c r="J65">
        <v>1.8</v>
      </c>
      <c r="K65">
        <v>105.1</v>
      </c>
    </row>
    <row r="66" spans="5:11" x14ac:dyDescent="0.25">
      <c r="E66">
        <v>2.2000000000000002</v>
      </c>
      <c r="F66">
        <v>21</v>
      </c>
      <c r="G66">
        <v>8</v>
      </c>
      <c r="H66">
        <v>5.4</v>
      </c>
      <c r="I66">
        <v>10.4</v>
      </c>
      <c r="J66">
        <v>3.6</v>
      </c>
      <c r="K66">
        <v>101.4</v>
      </c>
    </row>
    <row r="67" spans="5:11" x14ac:dyDescent="0.25">
      <c r="E67">
        <v>2.2000000000000002</v>
      </c>
      <c r="F67">
        <v>21</v>
      </c>
      <c r="G67">
        <v>8</v>
      </c>
      <c r="H67">
        <v>5.4</v>
      </c>
      <c r="I67">
        <v>20.8</v>
      </c>
      <c r="J67">
        <v>1.8</v>
      </c>
      <c r="K67">
        <v>128</v>
      </c>
    </row>
    <row r="68" spans="5:11" x14ac:dyDescent="0.25">
      <c r="E68">
        <v>2.2000000000000002</v>
      </c>
      <c r="F68">
        <v>21</v>
      </c>
      <c r="G68">
        <v>8</v>
      </c>
      <c r="H68">
        <v>5.4</v>
      </c>
      <c r="I68">
        <v>20.8</v>
      </c>
      <c r="J68">
        <v>3.6</v>
      </c>
      <c r="K68">
        <v>123.1</v>
      </c>
    </row>
    <row r="69" spans="5:11" x14ac:dyDescent="0.25">
      <c r="E69">
        <v>2.2000000000000002</v>
      </c>
      <c r="F69">
        <v>21</v>
      </c>
      <c r="G69">
        <v>16</v>
      </c>
      <c r="H69">
        <v>2.7</v>
      </c>
      <c r="I69">
        <v>10.4</v>
      </c>
      <c r="J69">
        <v>1.8</v>
      </c>
      <c r="K69">
        <v>110.1</v>
      </c>
    </row>
    <row r="70" spans="5:11" x14ac:dyDescent="0.25">
      <c r="E70">
        <v>2.2000000000000002</v>
      </c>
      <c r="F70">
        <v>21</v>
      </c>
      <c r="G70">
        <v>16</v>
      </c>
      <c r="H70">
        <v>2.7</v>
      </c>
      <c r="I70">
        <v>10.4</v>
      </c>
      <c r="J70">
        <v>3.6</v>
      </c>
      <c r="K70">
        <v>111.1</v>
      </c>
    </row>
    <row r="71" spans="5:11" x14ac:dyDescent="0.25">
      <c r="E71">
        <v>2.2000000000000002</v>
      </c>
      <c r="F71">
        <v>21</v>
      </c>
      <c r="G71">
        <v>16</v>
      </c>
      <c r="H71">
        <v>2.7</v>
      </c>
      <c r="I71">
        <v>20.8</v>
      </c>
      <c r="J71">
        <v>1.8</v>
      </c>
      <c r="K71">
        <v>130.19999999999999</v>
      </c>
    </row>
    <row r="72" spans="5:11" x14ac:dyDescent="0.25">
      <c r="E72">
        <v>2.2000000000000002</v>
      </c>
      <c r="F72">
        <v>21</v>
      </c>
      <c r="G72">
        <v>16</v>
      </c>
      <c r="H72">
        <v>2.7</v>
      </c>
      <c r="I72">
        <v>20.8</v>
      </c>
      <c r="J72">
        <v>3.6</v>
      </c>
      <c r="K72">
        <v>119.8</v>
      </c>
    </row>
    <row r="73" spans="5:11" x14ac:dyDescent="0.25">
      <c r="E73">
        <v>2.2000000000000002</v>
      </c>
      <c r="F73">
        <v>21</v>
      </c>
      <c r="G73">
        <v>16</v>
      </c>
      <c r="H73">
        <v>5.4</v>
      </c>
      <c r="I73">
        <v>10.4</v>
      </c>
      <c r="J73">
        <v>1.8</v>
      </c>
      <c r="K73">
        <v>118</v>
      </c>
    </row>
    <row r="74" spans="5:11" x14ac:dyDescent="0.25">
      <c r="E74">
        <v>2.2000000000000002</v>
      </c>
      <c r="F74">
        <v>21</v>
      </c>
      <c r="G74">
        <v>16</v>
      </c>
      <c r="H74">
        <v>5.4</v>
      </c>
      <c r="I74">
        <v>10.4</v>
      </c>
      <c r="J74">
        <v>3.6</v>
      </c>
      <c r="K74">
        <v>118.3</v>
      </c>
    </row>
    <row r="75" spans="5:11" x14ac:dyDescent="0.25">
      <c r="E75">
        <v>2.2000000000000002</v>
      </c>
      <c r="F75">
        <v>21</v>
      </c>
      <c r="G75">
        <v>16</v>
      </c>
      <c r="H75">
        <v>5.4</v>
      </c>
      <c r="I75">
        <v>20.8</v>
      </c>
      <c r="J75">
        <v>1.8</v>
      </c>
      <c r="K75">
        <v>133.9</v>
      </c>
    </row>
    <row r="76" spans="5:11" x14ac:dyDescent="0.25">
      <c r="E76">
        <v>2.2000000000000002</v>
      </c>
      <c r="F76">
        <v>21</v>
      </c>
      <c r="G76">
        <v>16</v>
      </c>
      <c r="H76">
        <v>5.4</v>
      </c>
      <c r="I76">
        <v>20.8</v>
      </c>
      <c r="J76">
        <v>3.6</v>
      </c>
      <c r="K76">
        <v>135</v>
      </c>
    </row>
    <row r="77" spans="5:11" x14ac:dyDescent="0.25">
      <c r="E77">
        <v>1.1000000000000001</v>
      </c>
      <c r="F77">
        <v>10.5</v>
      </c>
      <c r="G77">
        <v>8</v>
      </c>
      <c r="H77">
        <v>2.7</v>
      </c>
      <c r="I77">
        <v>10.4</v>
      </c>
      <c r="J77">
        <v>1.8</v>
      </c>
      <c r="K77">
        <v>83.2</v>
      </c>
    </row>
    <row r="78" spans="5:11" x14ac:dyDescent="0.25">
      <c r="E78">
        <v>1.1000000000000001</v>
      </c>
      <c r="F78">
        <v>10.5</v>
      </c>
      <c r="G78">
        <v>8</v>
      </c>
      <c r="H78">
        <v>2.7</v>
      </c>
      <c r="I78">
        <v>10.4</v>
      </c>
      <c r="J78">
        <v>3.6</v>
      </c>
      <c r="K78">
        <v>102.6</v>
      </c>
    </row>
    <row r="79" spans="5:11" x14ac:dyDescent="0.25">
      <c r="E79">
        <v>1.1000000000000001</v>
      </c>
      <c r="F79">
        <v>10.5</v>
      </c>
      <c r="G79">
        <v>8</v>
      </c>
      <c r="H79">
        <v>2.7</v>
      </c>
      <c r="I79">
        <v>20.8</v>
      </c>
      <c r="J79">
        <v>1.8</v>
      </c>
      <c r="K79">
        <v>96.6</v>
      </c>
    </row>
    <row r="80" spans="5:11" x14ac:dyDescent="0.25">
      <c r="E80">
        <v>1.1000000000000001</v>
      </c>
      <c r="F80">
        <v>10.5</v>
      </c>
      <c r="G80">
        <v>8</v>
      </c>
      <c r="H80">
        <v>2.7</v>
      </c>
      <c r="I80">
        <v>20.8</v>
      </c>
      <c r="J80">
        <v>3.6</v>
      </c>
      <c r="K80">
        <v>111.3</v>
      </c>
    </row>
    <row r="81" spans="5:11" x14ac:dyDescent="0.25">
      <c r="E81">
        <v>1.1000000000000001</v>
      </c>
      <c r="F81">
        <v>10.5</v>
      </c>
      <c r="G81">
        <v>8</v>
      </c>
      <c r="H81">
        <v>5.4</v>
      </c>
      <c r="I81">
        <v>10.4</v>
      </c>
      <c r="J81">
        <v>1.8</v>
      </c>
      <c r="K81">
        <v>96.4</v>
      </c>
    </row>
    <row r="82" spans="5:11" x14ac:dyDescent="0.25">
      <c r="E82">
        <v>1.1000000000000001</v>
      </c>
      <c r="F82">
        <v>10.5</v>
      </c>
      <c r="G82">
        <v>8</v>
      </c>
      <c r="H82">
        <v>5.4</v>
      </c>
      <c r="I82">
        <v>10.4</v>
      </c>
      <c r="J82">
        <v>3.6</v>
      </c>
      <c r="K82">
        <v>108.2</v>
      </c>
    </row>
    <row r="83" spans="5:11" x14ac:dyDescent="0.25">
      <c r="E83">
        <v>1.1000000000000001</v>
      </c>
      <c r="F83">
        <v>10.5</v>
      </c>
      <c r="G83">
        <v>8</v>
      </c>
      <c r="H83">
        <v>5.4</v>
      </c>
      <c r="I83">
        <v>20.8</v>
      </c>
      <c r="J83">
        <v>1.8</v>
      </c>
      <c r="K83">
        <v>97.2</v>
      </c>
    </row>
    <row r="84" spans="5:11" x14ac:dyDescent="0.25">
      <c r="E84">
        <v>1.1000000000000001</v>
      </c>
      <c r="F84">
        <v>10.5</v>
      </c>
      <c r="G84">
        <v>8</v>
      </c>
      <c r="H84">
        <v>5.4</v>
      </c>
      <c r="I84">
        <v>20.8</v>
      </c>
      <c r="J84">
        <v>3.6</v>
      </c>
      <c r="K84">
        <v>99.5</v>
      </c>
    </row>
    <row r="85" spans="5:11" x14ac:dyDescent="0.25">
      <c r="E85">
        <v>1.1000000000000001</v>
      </c>
      <c r="F85">
        <v>10.5</v>
      </c>
      <c r="G85">
        <v>16</v>
      </c>
      <c r="H85">
        <v>2.7</v>
      </c>
      <c r="I85">
        <v>10.4</v>
      </c>
      <c r="J85">
        <v>1.8</v>
      </c>
      <c r="K85">
        <v>99.9</v>
      </c>
    </row>
    <row r="86" spans="5:11" x14ac:dyDescent="0.25">
      <c r="E86">
        <v>1.1000000000000001</v>
      </c>
      <c r="F86">
        <v>10.5</v>
      </c>
      <c r="G86">
        <v>16</v>
      </c>
      <c r="H86">
        <v>2.7</v>
      </c>
      <c r="I86">
        <v>10.4</v>
      </c>
      <c r="J86">
        <v>3.6</v>
      </c>
      <c r="K86">
        <v>97.9</v>
      </c>
    </row>
    <row r="87" spans="5:11" x14ac:dyDescent="0.25">
      <c r="E87">
        <v>1.1000000000000001</v>
      </c>
      <c r="F87">
        <v>10.5</v>
      </c>
      <c r="G87">
        <v>16</v>
      </c>
      <c r="H87">
        <v>2.7</v>
      </c>
      <c r="I87">
        <v>20.8</v>
      </c>
      <c r="J87">
        <v>1.8</v>
      </c>
      <c r="K87">
        <v>111.4</v>
      </c>
    </row>
    <row r="88" spans="5:11" x14ac:dyDescent="0.25">
      <c r="E88">
        <v>1.1000000000000001</v>
      </c>
      <c r="F88">
        <v>10.5</v>
      </c>
      <c r="G88">
        <v>16</v>
      </c>
      <c r="H88">
        <v>2.7</v>
      </c>
      <c r="I88">
        <v>20.8</v>
      </c>
      <c r="J88">
        <v>3.6</v>
      </c>
      <c r="K88">
        <v>114.7</v>
      </c>
    </row>
    <row r="89" spans="5:11" x14ac:dyDescent="0.25">
      <c r="E89">
        <v>1.1000000000000001</v>
      </c>
      <c r="F89">
        <v>10.5</v>
      </c>
      <c r="G89">
        <v>16</v>
      </c>
      <c r="H89">
        <v>5.4</v>
      </c>
      <c r="I89">
        <v>10.4</v>
      </c>
      <c r="J89">
        <v>1.8</v>
      </c>
      <c r="K89">
        <v>107.5</v>
      </c>
    </row>
    <row r="90" spans="5:11" x14ac:dyDescent="0.25">
      <c r="E90">
        <v>1.1000000000000001</v>
      </c>
      <c r="F90">
        <v>10.5</v>
      </c>
      <c r="G90">
        <v>16</v>
      </c>
      <c r="H90">
        <v>5.4</v>
      </c>
      <c r="I90">
        <v>10.4</v>
      </c>
      <c r="J90">
        <v>3.6</v>
      </c>
      <c r="K90">
        <v>114</v>
      </c>
    </row>
    <row r="91" spans="5:11" x14ac:dyDescent="0.25">
      <c r="E91">
        <v>1.1000000000000001</v>
      </c>
      <c r="F91">
        <v>10.5</v>
      </c>
      <c r="G91">
        <v>16</v>
      </c>
      <c r="H91">
        <v>5.4</v>
      </c>
      <c r="I91">
        <v>20.8</v>
      </c>
      <c r="J91">
        <v>1.8</v>
      </c>
      <c r="K91">
        <v>121.5</v>
      </c>
    </row>
    <row r="92" spans="5:11" x14ac:dyDescent="0.25">
      <c r="E92">
        <v>1.1000000000000001</v>
      </c>
      <c r="F92">
        <v>10.5</v>
      </c>
      <c r="G92">
        <v>16</v>
      </c>
      <c r="H92">
        <v>5.4</v>
      </c>
      <c r="I92">
        <v>20.8</v>
      </c>
      <c r="J92">
        <v>3.6</v>
      </c>
      <c r="K92">
        <v>115.8</v>
      </c>
    </row>
    <row r="93" spans="5:11" x14ac:dyDescent="0.25">
      <c r="E93">
        <v>1.1000000000000001</v>
      </c>
      <c r="F93">
        <v>21</v>
      </c>
      <c r="G93">
        <v>8</v>
      </c>
      <c r="H93">
        <v>2.7</v>
      </c>
      <c r="I93">
        <v>10.4</v>
      </c>
      <c r="J93">
        <v>1.8</v>
      </c>
      <c r="K93">
        <v>101.4</v>
      </c>
    </row>
    <row r="94" spans="5:11" x14ac:dyDescent="0.25">
      <c r="E94">
        <v>1.1000000000000001</v>
      </c>
      <c r="F94">
        <v>21</v>
      </c>
      <c r="G94">
        <v>8</v>
      </c>
      <c r="H94">
        <v>2.7</v>
      </c>
      <c r="I94">
        <v>10.4</v>
      </c>
      <c r="J94">
        <v>3.6</v>
      </c>
      <c r="K94">
        <v>94.4</v>
      </c>
    </row>
    <row r="95" spans="5:11" x14ac:dyDescent="0.25">
      <c r="E95">
        <v>1.1000000000000001</v>
      </c>
      <c r="F95">
        <v>21</v>
      </c>
      <c r="G95">
        <v>8</v>
      </c>
      <c r="H95">
        <v>2.7</v>
      </c>
      <c r="I95">
        <v>20.8</v>
      </c>
      <c r="J95">
        <v>1.8</v>
      </c>
      <c r="K95">
        <v>122.7</v>
      </c>
    </row>
    <row r="96" spans="5:11" x14ac:dyDescent="0.25">
      <c r="E96">
        <v>1.1000000000000001</v>
      </c>
      <c r="F96">
        <v>21</v>
      </c>
      <c r="G96">
        <v>8</v>
      </c>
      <c r="H96">
        <v>2.7</v>
      </c>
      <c r="I96">
        <v>20.8</v>
      </c>
      <c r="J96">
        <v>3.6</v>
      </c>
      <c r="K96">
        <v>123.1</v>
      </c>
    </row>
    <row r="97" spans="5:11" x14ac:dyDescent="0.25">
      <c r="E97">
        <v>1.1000000000000001</v>
      </c>
      <c r="F97">
        <v>21</v>
      </c>
      <c r="G97">
        <v>8</v>
      </c>
      <c r="H97">
        <v>5.4</v>
      </c>
      <c r="I97">
        <v>10.4</v>
      </c>
      <c r="J97">
        <v>1.8</v>
      </c>
      <c r="K97">
        <v>115</v>
      </c>
    </row>
    <row r="98" spans="5:11" x14ac:dyDescent="0.25">
      <c r="E98">
        <v>1.1000000000000001</v>
      </c>
      <c r="F98">
        <v>21</v>
      </c>
      <c r="G98">
        <v>8</v>
      </c>
      <c r="H98">
        <v>5.4</v>
      </c>
      <c r="I98">
        <v>10.4</v>
      </c>
      <c r="J98">
        <v>3.6</v>
      </c>
      <c r="K98">
        <v>95.2</v>
      </c>
    </row>
    <row r="99" spans="5:11" x14ac:dyDescent="0.25">
      <c r="E99">
        <v>1.1000000000000001</v>
      </c>
      <c r="F99">
        <v>21</v>
      </c>
      <c r="G99">
        <v>8</v>
      </c>
      <c r="H99">
        <v>5.4</v>
      </c>
      <c r="I99">
        <v>20.8</v>
      </c>
      <c r="J99">
        <v>1.8</v>
      </c>
      <c r="K99">
        <v>116.6</v>
      </c>
    </row>
    <row r="100" spans="5:11" x14ac:dyDescent="0.25">
      <c r="E100">
        <v>1.1000000000000001</v>
      </c>
      <c r="F100">
        <v>21</v>
      </c>
      <c r="G100">
        <v>8</v>
      </c>
      <c r="H100">
        <v>5.4</v>
      </c>
      <c r="I100">
        <v>20.8</v>
      </c>
      <c r="J100">
        <v>3.6</v>
      </c>
      <c r="K100">
        <v>129.6</v>
      </c>
    </row>
    <row r="101" spans="5:11" x14ac:dyDescent="0.25">
      <c r="E101">
        <v>1.1000000000000001</v>
      </c>
      <c r="F101">
        <v>21</v>
      </c>
      <c r="G101">
        <v>16</v>
      </c>
      <c r="H101">
        <v>2.7</v>
      </c>
      <c r="I101">
        <v>10.4</v>
      </c>
      <c r="J101">
        <v>1.8</v>
      </c>
      <c r="K101">
        <v>108.7</v>
      </c>
    </row>
    <row r="102" spans="5:11" x14ac:dyDescent="0.25">
      <c r="E102">
        <v>1.1000000000000001</v>
      </c>
      <c r="F102">
        <v>21</v>
      </c>
      <c r="G102">
        <v>16</v>
      </c>
      <c r="H102">
        <v>2.7</v>
      </c>
      <c r="I102">
        <v>10.4</v>
      </c>
      <c r="J102">
        <v>3.6</v>
      </c>
      <c r="K102">
        <v>108.2</v>
      </c>
    </row>
    <row r="103" spans="5:11" x14ac:dyDescent="0.25">
      <c r="E103">
        <v>1.1000000000000001</v>
      </c>
      <c r="F103">
        <v>21</v>
      </c>
      <c r="G103">
        <v>16</v>
      </c>
      <c r="H103">
        <v>2.7</v>
      </c>
      <c r="I103">
        <v>20.8</v>
      </c>
      <c r="J103">
        <v>1.8</v>
      </c>
      <c r="K103">
        <v>116.9</v>
      </c>
    </row>
    <row r="104" spans="5:11" x14ac:dyDescent="0.25">
      <c r="E104">
        <v>1.1000000000000001</v>
      </c>
      <c r="F104">
        <v>21</v>
      </c>
      <c r="G104">
        <v>16</v>
      </c>
      <c r="H104">
        <v>2.7</v>
      </c>
      <c r="I104">
        <v>20.8</v>
      </c>
      <c r="J104">
        <v>3.6</v>
      </c>
      <c r="K104">
        <v>119</v>
      </c>
    </row>
    <row r="105" spans="5:11" x14ac:dyDescent="0.25">
      <c r="E105">
        <v>1.1000000000000001</v>
      </c>
      <c r="F105">
        <v>21</v>
      </c>
      <c r="G105">
        <v>16</v>
      </c>
      <c r="H105">
        <v>5.4</v>
      </c>
      <c r="I105">
        <v>10.4</v>
      </c>
      <c r="J105">
        <v>1.8</v>
      </c>
      <c r="K105">
        <v>112.4</v>
      </c>
    </row>
    <row r="106" spans="5:11" x14ac:dyDescent="0.25">
      <c r="E106">
        <v>1.1000000000000001</v>
      </c>
      <c r="F106">
        <v>21</v>
      </c>
      <c r="G106">
        <v>16</v>
      </c>
      <c r="H106">
        <v>5.4</v>
      </c>
      <c r="I106">
        <v>10.4</v>
      </c>
      <c r="J106">
        <v>3.6</v>
      </c>
      <c r="K106">
        <v>110.9</v>
      </c>
    </row>
    <row r="107" spans="5:11" x14ac:dyDescent="0.25">
      <c r="E107">
        <v>1.1000000000000001</v>
      </c>
      <c r="F107">
        <v>21</v>
      </c>
      <c r="G107">
        <v>16</v>
      </c>
      <c r="H107">
        <v>5.4</v>
      </c>
      <c r="I107">
        <v>20.8</v>
      </c>
      <c r="J107">
        <v>1.8</v>
      </c>
      <c r="K107">
        <v>122.3</v>
      </c>
    </row>
    <row r="108" spans="5:11" x14ac:dyDescent="0.25">
      <c r="E108">
        <v>1.1000000000000001</v>
      </c>
      <c r="F108">
        <v>21</v>
      </c>
      <c r="G108">
        <v>16</v>
      </c>
      <c r="H108">
        <v>5.4</v>
      </c>
      <c r="I108">
        <v>20.8</v>
      </c>
      <c r="J108">
        <v>3.6</v>
      </c>
      <c r="K108">
        <v>136.19999999999999</v>
      </c>
    </row>
    <row r="109" spans="5:11" x14ac:dyDescent="0.25">
      <c r="E109">
        <v>2.2000000000000002</v>
      </c>
      <c r="F109">
        <v>10.5</v>
      </c>
      <c r="G109">
        <v>8</v>
      </c>
      <c r="H109">
        <v>2.7</v>
      </c>
      <c r="I109">
        <v>10.4</v>
      </c>
      <c r="J109">
        <v>1.8</v>
      </c>
      <c r="K109">
        <v>95.3</v>
      </c>
    </row>
    <row r="110" spans="5:11" x14ac:dyDescent="0.25">
      <c r="E110">
        <v>2.2000000000000002</v>
      </c>
      <c r="F110">
        <v>10.5</v>
      </c>
      <c r="G110">
        <v>8</v>
      </c>
      <c r="H110">
        <v>2.7</v>
      </c>
      <c r="I110">
        <v>10.4</v>
      </c>
      <c r="J110">
        <v>3.6</v>
      </c>
      <c r="K110">
        <v>108.4</v>
      </c>
    </row>
    <row r="111" spans="5:11" x14ac:dyDescent="0.25">
      <c r="E111">
        <v>2.2000000000000002</v>
      </c>
      <c r="F111">
        <v>10.5</v>
      </c>
      <c r="G111">
        <v>8</v>
      </c>
      <c r="H111">
        <v>2.7</v>
      </c>
      <c r="I111">
        <v>20.8</v>
      </c>
      <c r="J111">
        <v>1.8</v>
      </c>
      <c r="K111">
        <v>114.4</v>
      </c>
    </row>
    <row r="112" spans="5:11" x14ac:dyDescent="0.25">
      <c r="E112">
        <v>2.2000000000000002</v>
      </c>
      <c r="F112">
        <v>10.5</v>
      </c>
      <c r="G112">
        <v>8</v>
      </c>
      <c r="H112">
        <v>2.7</v>
      </c>
      <c r="I112">
        <v>20.8</v>
      </c>
      <c r="J112">
        <v>3.6</v>
      </c>
      <c r="K112">
        <v>107.9</v>
      </c>
    </row>
    <row r="113" spans="5:11" x14ac:dyDescent="0.25">
      <c r="E113">
        <v>2.2000000000000002</v>
      </c>
      <c r="F113">
        <v>10.5</v>
      </c>
      <c r="G113">
        <v>8</v>
      </c>
      <c r="H113">
        <v>5.4</v>
      </c>
      <c r="I113">
        <v>10.4</v>
      </c>
      <c r="J113">
        <v>1.8</v>
      </c>
      <c r="K113">
        <v>95.9</v>
      </c>
    </row>
    <row r="114" spans="5:11" x14ac:dyDescent="0.25">
      <c r="E114">
        <v>2.2000000000000002</v>
      </c>
      <c r="F114">
        <v>10.5</v>
      </c>
      <c r="G114">
        <v>8</v>
      </c>
      <c r="H114">
        <v>5.4</v>
      </c>
      <c r="I114">
        <v>10.4</v>
      </c>
      <c r="J114">
        <v>3.6</v>
      </c>
      <c r="K114">
        <v>102.7</v>
      </c>
    </row>
    <row r="115" spans="5:11" x14ac:dyDescent="0.25">
      <c r="E115">
        <v>2.2000000000000002</v>
      </c>
      <c r="F115">
        <v>10.5</v>
      </c>
      <c r="G115">
        <v>8</v>
      </c>
      <c r="H115">
        <v>5.4</v>
      </c>
      <c r="I115">
        <v>20.8</v>
      </c>
      <c r="J115">
        <v>1.8</v>
      </c>
      <c r="K115">
        <v>110.8</v>
      </c>
    </row>
    <row r="116" spans="5:11" x14ac:dyDescent="0.25">
      <c r="E116">
        <v>2.2000000000000002</v>
      </c>
      <c r="F116">
        <v>10.5</v>
      </c>
      <c r="G116">
        <v>8</v>
      </c>
      <c r="H116">
        <v>5.4</v>
      </c>
      <c r="I116">
        <v>20.8</v>
      </c>
      <c r="J116">
        <v>3.6</v>
      </c>
      <c r="K116">
        <v>103.3</v>
      </c>
    </row>
    <row r="117" spans="5:11" x14ac:dyDescent="0.25">
      <c r="E117">
        <v>2.2000000000000002</v>
      </c>
      <c r="F117">
        <v>10.5</v>
      </c>
      <c r="G117">
        <v>16</v>
      </c>
      <c r="H117">
        <v>2.7</v>
      </c>
      <c r="I117">
        <v>10.4</v>
      </c>
      <c r="J117">
        <v>1.8</v>
      </c>
      <c r="K117">
        <v>101.3</v>
      </c>
    </row>
    <row r="118" spans="5:11" x14ac:dyDescent="0.25">
      <c r="E118">
        <v>2.2000000000000002</v>
      </c>
      <c r="F118">
        <v>10.5</v>
      </c>
      <c r="G118">
        <v>16</v>
      </c>
      <c r="H118">
        <v>2.7</v>
      </c>
      <c r="I118">
        <v>10.4</v>
      </c>
      <c r="J118">
        <v>3.6</v>
      </c>
      <c r="K118">
        <v>111.4</v>
      </c>
    </row>
    <row r="119" spans="5:11" x14ac:dyDescent="0.25">
      <c r="E119">
        <v>2.2000000000000002</v>
      </c>
      <c r="F119">
        <v>10.5</v>
      </c>
      <c r="G119">
        <v>16</v>
      </c>
      <c r="H119">
        <v>2.7</v>
      </c>
      <c r="I119">
        <v>20.8</v>
      </c>
      <c r="J119">
        <v>1.8</v>
      </c>
      <c r="K119">
        <v>111.5</v>
      </c>
    </row>
    <row r="120" spans="5:11" x14ac:dyDescent="0.25">
      <c r="E120">
        <v>2.2000000000000002</v>
      </c>
      <c r="F120">
        <v>10.5</v>
      </c>
      <c r="G120">
        <v>16</v>
      </c>
      <c r="H120">
        <v>2.7</v>
      </c>
      <c r="I120">
        <v>20.8</v>
      </c>
      <c r="J120">
        <v>3.6</v>
      </c>
      <c r="K120">
        <v>112.2</v>
      </c>
    </row>
    <row r="121" spans="5:11" x14ac:dyDescent="0.25">
      <c r="E121">
        <v>2.2000000000000002</v>
      </c>
      <c r="F121">
        <v>10.5</v>
      </c>
      <c r="G121">
        <v>16</v>
      </c>
      <c r="H121">
        <v>5.4</v>
      </c>
      <c r="I121">
        <v>10.4</v>
      </c>
      <c r="J121">
        <v>1.8</v>
      </c>
      <c r="K121">
        <v>108.1</v>
      </c>
    </row>
    <row r="122" spans="5:11" x14ac:dyDescent="0.25">
      <c r="E122">
        <v>2.2000000000000002</v>
      </c>
      <c r="F122">
        <v>10.5</v>
      </c>
      <c r="G122">
        <v>16</v>
      </c>
      <c r="H122">
        <v>5.4</v>
      </c>
      <c r="I122">
        <v>10.4</v>
      </c>
      <c r="J122">
        <v>3.6</v>
      </c>
      <c r="K122">
        <v>109</v>
      </c>
    </row>
    <row r="123" spans="5:11" x14ac:dyDescent="0.25">
      <c r="E123">
        <v>2.2000000000000002</v>
      </c>
      <c r="F123">
        <v>10.5</v>
      </c>
      <c r="G123">
        <v>16</v>
      </c>
      <c r="H123">
        <v>5.4</v>
      </c>
      <c r="I123">
        <v>20.8</v>
      </c>
      <c r="J123">
        <v>1.8</v>
      </c>
      <c r="K123">
        <v>121.3</v>
      </c>
    </row>
    <row r="124" spans="5:11" x14ac:dyDescent="0.25">
      <c r="E124">
        <v>2.2000000000000002</v>
      </c>
      <c r="F124">
        <v>10.5</v>
      </c>
      <c r="G124">
        <v>16</v>
      </c>
      <c r="H124">
        <v>5.4</v>
      </c>
      <c r="I124">
        <v>20.8</v>
      </c>
      <c r="J124">
        <v>3.6</v>
      </c>
      <c r="K124">
        <v>125.9</v>
      </c>
    </row>
    <row r="125" spans="5:11" x14ac:dyDescent="0.25">
      <c r="E125">
        <v>2.2000000000000002</v>
      </c>
      <c r="F125">
        <v>21</v>
      </c>
      <c r="G125">
        <v>8</v>
      </c>
      <c r="H125">
        <v>2.7</v>
      </c>
      <c r="I125">
        <v>10.4</v>
      </c>
      <c r="J125">
        <v>1.8</v>
      </c>
      <c r="K125">
        <v>101</v>
      </c>
    </row>
    <row r="126" spans="5:11" x14ac:dyDescent="0.25">
      <c r="E126">
        <v>2.2000000000000002</v>
      </c>
      <c r="F126">
        <v>21</v>
      </c>
      <c r="G126">
        <v>8</v>
      </c>
      <c r="H126">
        <v>2.7</v>
      </c>
      <c r="I126">
        <v>10.4</v>
      </c>
      <c r="J126">
        <v>3.6</v>
      </c>
      <c r="K126">
        <v>96.3</v>
      </c>
    </row>
    <row r="127" spans="5:11" x14ac:dyDescent="0.25">
      <c r="E127">
        <v>2.2000000000000002</v>
      </c>
      <c r="F127">
        <v>21</v>
      </c>
      <c r="G127">
        <v>8</v>
      </c>
      <c r="H127">
        <v>2.7</v>
      </c>
      <c r="I127">
        <v>20.8</v>
      </c>
      <c r="J127">
        <v>1.8</v>
      </c>
      <c r="K127">
        <v>108.5</v>
      </c>
    </row>
    <row r="128" spans="5:11" x14ac:dyDescent="0.25">
      <c r="E128">
        <v>2.2000000000000002</v>
      </c>
      <c r="F128">
        <v>21</v>
      </c>
      <c r="G128">
        <v>8</v>
      </c>
      <c r="H128">
        <v>2.7</v>
      </c>
      <c r="I128">
        <v>20.8</v>
      </c>
      <c r="J128">
        <v>3.6</v>
      </c>
      <c r="K128">
        <v>117.5</v>
      </c>
    </row>
    <row r="129" spans="5:11" x14ac:dyDescent="0.25">
      <c r="E129">
        <v>2.2000000000000002</v>
      </c>
      <c r="F129">
        <v>21</v>
      </c>
      <c r="G129">
        <v>8</v>
      </c>
      <c r="H129">
        <v>5.4</v>
      </c>
      <c r="I129">
        <v>10.4</v>
      </c>
      <c r="J129">
        <v>1.8</v>
      </c>
      <c r="K129">
        <v>105.4</v>
      </c>
    </row>
    <row r="130" spans="5:11" x14ac:dyDescent="0.25">
      <c r="E130">
        <v>2.2000000000000002</v>
      </c>
      <c r="F130">
        <v>21</v>
      </c>
      <c r="G130">
        <v>8</v>
      </c>
      <c r="H130">
        <v>5.4</v>
      </c>
      <c r="I130">
        <v>10.4</v>
      </c>
      <c r="J130">
        <v>3.6</v>
      </c>
      <c r="K130">
        <v>111.9</v>
      </c>
    </row>
    <row r="131" spans="5:11" x14ac:dyDescent="0.25">
      <c r="E131">
        <v>2.2000000000000002</v>
      </c>
      <c r="F131">
        <v>21</v>
      </c>
      <c r="G131">
        <v>8</v>
      </c>
      <c r="H131">
        <v>5.4</v>
      </c>
      <c r="I131">
        <v>20.8</v>
      </c>
      <c r="J131">
        <v>1.8</v>
      </c>
      <c r="K131">
        <v>126.4</v>
      </c>
    </row>
    <row r="132" spans="5:11" x14ac:dyDescent="0.25">
      <c r="E132">
        <v>2.2000000000000002</v>
      </c>
      <c r="F132">
        <v>21</v>
      </c>
      <c r="G132">
        <v>8</v>
      </c>
      <c r="H132">
        <v>5.4</v>
      </c>
      <c r="I132">
        <v>20.8</v>
      </c>
      <c r="J132">
        <v>3.6</v>
      </c>
      <c r="K132">
        <v>122.3</v>
      </c>
    </row>
    <row r="133" spans="5:11" x14ac:dyDescent="0.25">
      <c r="E133">
        <v>2.2000000000000002</v>
      </c>
      <c r="F133">
        <v>21</v>
      </c>
      <c r="G133">
        <v>16</v>
      </c>
      <c r="H133">
        <v>2.7</v>
      </c>
      <c r="I133">
        <v>10.4</v>
      </c>
      <c r="J133">
        <v>1.8</v>
      </c>
      <c r="K133">
        <v>124.6</v>
      </c>
    </row>
    <row r="134" spans="5:11" x14ac:dyDescent="0.25">
      <c r="E134">
        <v>2.2000000000000002</v>
      </c>
      <c r="F134">
        <v>21</v>
      </c>
      <c r="G134">
        <v>16</v>
      </c>
      <c r="H134">
        <v>2.7</v>
      </c>
      <c r="I134">
        <v>10.4</v>
      </c>
      <c r="J134">
        <v>3.6</v>
      </c>
      <c r="K134">
        <v>119.6</v>
      </c>
    </row>
    <row r="135" spans="5:11" x14ac:dyDescent="0.25">
      <c r="E135">
        <v>2.2000000000000002</v>
      </c>
      <c r="F135">
        <v>21</v>
      </c>
      <c r="G135">
        <v>16</v>
      </c>
      <c r="H135">
        <v>2.7</v>
      </c>
      <c r="I135">
        <v>20.8</v>
      </c>
      <c r="J135">
        <v>1.8</v>
      </c>
      <c r="K135">
        <v>121.8</v>
      </c>
    </row>
    <row r="136" spans="5:11" x14ac:dyDescent="0.25">
      <c r="E136">
        <v>2.2000000000000002</v>
      </c>
      <c r="F136">
        <v>21</v>
      </c>
      <c r="G136">
        <v>16</v>
      </c>
      <c r="H136">
        <v>2.7</v>
      </c>
      <c r="I136">
        <v>20.8</v>
      </c>
      <c r="J136">
        <v>3.6</v>
      </c>
      <c r="K136">
        <v>116.2</v>
      </c>
    </row>
    <row r="137" spans="5:11" x14ac:dyDescent="0.25">
      <c r="E137">
        <v>2.2000000000000002</v>
      </c>
      <c r="F137">
        <v>21</v>
      </c>
      <c r="G137">
        <v>16</v>
      </c>
      <c r="H137">
        <v>5.4</v>
      </c>
      <c r="I137">
        <v>10.4</v>
      </c>
      <c r="J137">
        <v>1.8</v>
      </c>
      <c r="K137">
        <v>120.9</v>
      </c>
    </row>
    <row r="138" spans="5:11" x14ac:dyDescent="0.25">
      <c r="E138">
        <v>2.2000000000000002</v>
      </c>
      <c r="F138">
        <v>21</v>
      </c>
      <c r="G138">
        <v>16</v>
      </c>
      <c r="H138">
        <v>5.4</v>
      </c>
      <c r="I138">
        <v>10.4</v>
      </c>
      <c r="J138">
        <v>3.6</v>
      </c>
      <c r="K138">
        <v>120.1</v>
      </c>
    </row>
    <row r="139" spans="5:11" x14ac:dyDescent="0.25">
      <c r="E139">
        <v>2.2000000000000002</v>
      </c>
      <c r="F139">
        <v>21</v>
      </c>
      <c r="G139">
        <v>16</v>
      </c>
      <c r="H139">
        <v>5.4</v>
      </c>
      <c r="I139">
        <v>20.8</v>
      </c>
      <c r="J139">
        <v>1.8</v>
      </c>
      <c r="K139">
        <v>125.5</v>
      </c>
    </row>
    <row r="140" spans="5:11" x14ac:dyDescent="0.25">
      <c r="E140">
        <v>2.2000000000000002</v>
      </c>
      <c r="F140">
        <v>21</v>
      </c>
      <c r="G140">
        <v>16</v>
      </c>
      <c r="H140">
        <v>5.4</v>
      </c>
      <c r="I140">
        <v>20.8</v>
      </c>
      <c r="J140">
        <v>3.6</v>
      </c>
      <c r="K140">
        <v>136.9</v>
      </c>
    </row>
  </sheetData>
  <mergeCells count="2">
    <mergeCell ref="Q5:R5"/>
    <mergeCell ref="T5:U5"/>
  </mergeCells>
  <pageMargins left="0.75" right="0.75" top="1" bottom="1" header="0.51180555555555562" footer="0.51180555555555562"/>
  <pageSetup firstPageNumber="0" orientation="portrait" horizontalDpi="300" verticalDpi="300"/>
  <headerFooter alignWithMargins="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E165"/>
  <sheetViews>
    <sheetView showGridLines="0" topLeftCell="G1" zoomScale="85" zoomScaleNormal="85" workbookViewId="0">
      <selection activeCell="J70" sqref="J70"/>
    </sheetView>
  </sheetViews>
  <sheetFormatPr defaultRowHeight="12.5" x14ac:dyDescent="0.25"/>
  <cols>
    <col min="8" max="8" width="15" customWidth="1"/>
    <col min="15" max="15" width="13.453125" customWidth="1"/>
    <col min="25" max="26" width="9.81640625" customWidth="1"/>
    <col min="28" max="28" width="16.81640625" customWidth="1"/>
    <col min="36" max="36" width="12.81640625" customWidth="1"/>
    <col min="38" max="38" width="10.453125" customWidth="1"/>
    <col min="39" max="39" width="9.7265625" customWidth="1"/>
    <col min="41" max="41" width="11.54296875" customWidth="1"/>
    <col min="44" max="44" width="11.54296875" customWidth="1"/>
    <col min="45" max="45" width="11.08984375" customWidth="1"/>
    <col min="51" max="51" width="22" customWidth="1"/>
    <col min="53" max="53" width="12.54296875" customWidth="1"/>
    <col min="54" max="54" width="10" customWidth="1"/>
  </cols>
  <sheetData>
    <row r="1" spans="2:45" ht="18" x14ac:dyDescent="0.4">
      <c r="B1" s="381" t="s">
        <v>124</v>
      </c>
      <c r="C1" s="381"/>
      <c r="D1" s="381"/>
      <c r="E1" s="381"/>
      <c r="F1" s="381"/>
      <c r="G1" s="381"/>
      <c r="H1" s="381"/>
      <c r="J1" s="87" t="s">
        <v>125</v>
      </c>
      <c r="K1" s="88"/>
      <c r="L1" s="88"/>
      <c r="M1" s="88"/>
      <c r="N1" s="88"/>
      <c r="O1" s="88"/>
      <c r="Q1" s="382" t="s">
        <v>126</v>
      </c>
      <c r="R1" s="382"/>
      <c r="S1" s="382"/>
      <c r="T1" s="382"/>
      <c r="U1" s="382"/>
      <c r="V1" s="382"/>
      <c r="X1" s="34"/>
      <c r="AB1" s="383" t="s">
        <v>127</v>
      </c>
      <c r="AC1" s="383"/>
      <c r="AD1" s="383"/>
      <c r="AE1" s="383"/>
      <c r="AF1" s="383"/>
      <c r="AG1" s="383"/>
      <c r="AH1" s="383"/>
      <c r="AI1" s="383"/>
      <c r="AO1" s="89"/>
      <c r="AQ1" s="90" t="s">
        <v>128</v>
      </c>
      <c r="AR1" s="91" t="s">
        <v>0</v>
      </c>
      <c r="AS1" s="92"/>
    </row>
    <row r="2" spans="2:45" ht="18" x14ac:dyDescent="0.4">
      <c r="F2" s="42"/>
      <c r="J2" s="384" t="s">
        <v>129</v>
      </c>
      <c r="K2" s="384"/>
      <c r="L2" s="384"/>
      <c r="M2" s="384"/>
      <c r="N2" s="384"/>
      <c r="O2" s="384"/>
      <c r="R2" s="93" t="s">
        <v>130</v>
      </c>
      <c r="U2" s="32"/>
      <c r="AA2" s="42"/>
      <c r="AH2" s="94"/>
      <c r="AI2" s="94"/>
      <c r="AJ2" s="94"/>
      <c r="AK2" s="94"/>
      <c r="AL2" s="94"/>
      <c r="AM2" s="94"/>
      <c r="AN2" s="94"/>
      <c r="AO2" s="89"/>
      <c r="AP2" s="92"/>
      <c r="AQ2" s="95"/>
      <c r="AR2" s="96" t="s">
        <v>131</v>
      </c>
      <c r="AS2" s="92"/>
    </row>
    <row r="3" spans="2:45" ht="15.5" x14ac:dyDescent="0.35">
      <c r="F3" s="93" t="s">
        <v>130</v>
      </c>
      <c r="L3" s="16" t="s">
        <v>132</v>
      </c>
      <c r="M3" s="8">
        <v>21</v>
      </c>
      <c r="N3" s="25"/>
      <c r="R3" s="16" t="s">
        <v>133</v>
      </c>
      <c r="S3" s="36">
        <v>0.93</v>
      </c>
      <c r="U3" s="1" t="s">
        <v>99</v>
      </c>
      <c r="AA3" s="93" t="s">
        <v>130</v>
      </c>
      <c r="AD3" s="32"/>
      <c r="AH3" s="32"/>
      <c r="AI3" s="97"/>
      <c r="AJ3" s="385" t="s">
        <v>134</v>
      </c>
      <c r="AK3" s="385"/>
      <c r="AL3" s="385"/>
      <c r="AM3" s="385"/>
      <c r="AN3" s="385"/>
      <c r="AO3" s="89"/>
      <c r="AP3" s="92"/>
      <c r="AQ3" s="95"/>
      <c r="AR3" s="98" t="s">
        <v>122</v>
      </c>
      <c r="AS3" s="92"/>
    </row>
    <row r="4" spans="2:45" ht="13" x14ac:dyDescent="0.3">
      <c r="F4" s="16" t="s">
        <v>133</v>
      </c>
      <c r="G4" s="36">
        <v>0.98</v>
      </c>
      <c r="L4" s="16" t="s">
        <v>135</v>
      </c>
      <c r="M4" s="8">
        <v>17</v>
      </c>
      <c r="N4" s="25"/>
      <c r="R4" s="16" t="s">
        <v>136</v>
      </c>
      <c r="S4" s="43">
        <f>AVERAGE(U4:U30)</f>
        <v>55.938095238095244</v>
      </c>
      <c r="U4" s="1">
        <v>62</v>
      </c>
      <c r="AA4" s="16" t="s">
        <v>133</v>
      </c>
      <c r="AB4" s="36">
        <v>0.9</v>
      </c>
      <c r="AD4" s="1" t="s">
        <v>99</v>
      </c>
      <c r="AH4" s="1" t="s">
        <v>99</v>
      </c>
      <c r="AJ4" s="386" t="s">
        <v>130</v>
      </c>
      <c r="AK4" s="386"/>
      <c r="AM4" s="386" t="s">
        <v>137</v>
      </c>
      <c r="AN4" s="386"/>
      <c r="AQ4" s="99"/>
      <c r="AR4" s="100" t="s">
        <v>138</v>
      </c>
    </row>
    <row r="5" spans="2:45" ht="12.9" customHeight="1" x14ac:dyDescent="0.3">
      <c r="F5" s="16" t="s">
        <v>139</v>
      </c>
      <c r="G5" s="8">
        <v>14</v>
      </c>
      <c r="L5" s="16" t="s">
        <v>140</v>
      </c>
      <c r="M5" s="36">
        <v>0.94</v>
      </c>
      <c r="N5" s="25"/>
      <c r="R5" s="16" t="s">
        <v>141</v>
      </c>
      <c r="S5" s="43">
        <f>STDEV(U4:U30)</f>
        <v>6.3216672002309586</v>
      </c>
      <c r="U5" s="1">
        <v>62.5</v>
      </c>
      <c r="AA5" s="16" t="s">
        <v>136</v>
      </c>
      <c r="AB5" s="43">
        <f>AVERAGE(AD5:AD30)</f>
        <v>5.1909090909090896</v>
      </c>
      <c r="AD5" s="1">
        <v>5.6</v>
      </c>
      <c r="AH5" s="101">
        <v>3.3</v>
      </c>
      <c r="AJ5" s="16" t="s">
        <v>142</v>
      </c>
      <c r="AK5" s="102">
        <v>0.31835999999999998</v>
      </c>
      <c r="AM5" s="16" t="s">
        <v>142</v>
      </c>
      <c r="AN5" s="102">
        <v>0.96</v>
      </c>
      <c r="AO5" s="387" t="s">
        <v>143</v>
      </c>
      <c r="AP5" s="387"/>
      <c r="AQ5" s="387"/>
    </row>
    <row r="6" spans="2:45" ht="13" x14ac:dyDescent="0.3">
      <c r="F6" s="16" t="s">
        <v>144</v>
      </c>
      <c r="G6" s="43">
        <f>CHIINV(1-((1-G4)/2),G5*2)</f>
        <v>13.564709754618823</v>
      </c>
      <c r="L6" s="16" t="s">
        <v>145</v>
      </c>
      <c r="M6" s="43">
        <f>FINV((1-M5)/2,2*(M3-M4+1),2*M4)</f>
        <v>2.365791071760603</v>
      </c>
      <c r="N6" s="25"/>
      <c r="R6" s="16" t="s">
        <v>146</v>
      </c>
      <c r="S6" s="43">
        <f>TINV(1-S3,COUNT(U4:U30)-1)</f>
        <v>1.9142924453075501</v>
      </c>
      <c r="U6" s="1">
        <v>59.2</v>
      </c>
      <c r="AA6" s="16" t="s">
        <v>141</v>
      </c>
      <c r="AB6" s="43">
        <f>STDEV(AD5:AD30)</f>
        <v>5.7149685739176039</v>
      </c>
      <c r="AD6" s="1">
        <v>5.0999999999999996</v>
      </c>
      <c r="AH6" s="101">
        <v>12.8</v>
      </c>
      <c r="AJ6" s="16" t="s">
        <v>147</v>
      </c>
      <c r="AK6" s="103">
        <f>COUNT(AH4:AH90)</f>
        <v>22</v>
      </c>
      <c r="AL6" s="104" t="s">
        <v>148</v>
      </c>
      <c r="AM6" s="16" t="s">
        <v>147</v>
      </c>
      <c r="AN6" s="103">
        <f>COUNT(AH4:AH31)</f>
        <v>22</v>
      </c>
      <c r="AO6" s="387"/>
      <c r="AP6" s="387"/>
      <c r="AQ6" s="387"/>
    </row>
    <row r="7" spans="2:45" ht="13" x14ac:dyDescent="0.3">
      <c r="F7" s="16" t="s">
        <v>149</v>
      </c>
      <c r="G7" s="43">
        <f>CHIINV(((1-G4)/2),2*G5+2)</f>
        <v>50.892181311517085</v>
      </c>
      <c r="L7" s="16" t="s">
        <v>150</v>
      </c>
      <c r="M7" s="43">
        <f>FINV((1-M5)/2,2*(M4+1),2*(M3-M4))</f>
        <v>3.6340648163280509</v>
      </c>
      <c r="N7" s="25"/>
      <c r="R7" s="16" t="s">
        <v>151</v>
      </c>
      <c r="S7" s="43">
        <f>$S$4-$S$6*$S$5/(COUNT(U4:U30)^0.5)</f>
        <v>53.297327126731339</v>
      </c>
      <c r="U7" s="1">
        <v>48.4</v>
      </c>
      <c r="AA7" s="16" t="s">
        <v>144</v>
      </c>
      <c r="AB7" s="43">
        <f>CHIINV((1-AB4)/2,COUNT(AD5:AD30)-1)</f>
        <v>32.670573340917315</v>
      </c>
      <c r="AD7" s="1">
        <v>4.8</v>
      </c>
      <c r="AH7" s="101">
        <v>2.6</v>
      </c>
      <c r="AJ7" s="16" t="s">
        <v>152</v>
      </c>
      <c r="AK7" s="103">
        <f>(STDEV(AH4:AH31))^2</f>
        <v>25.498268398268365</v>
      </c>
      <c r="AL7" s="104">
        <f>SQRT(AK7)</f>
        <v>5.0495810121502522</v>
      </c>
      <c r="AM7" s="16" t="s">
        <v>152</v>
      </c>
      <c r="AN7" s="103">
        <f>(STDEV(AH4:AH31))^2</f>
        <v>25.498268398268365</v>
      </c>
      <c r="AO7" s="387"/>
      <c r="AP7" s="387"/>
      <c r="AQ7" s="387"/>
    </row>
    <row r="8" spans="2:45" ht="13" x14ac:dyDescent="0.3">
      <c r="F8" s="16" t="s">
        <v>153</v>
      </c>
      <c r="G8" s="43">
        <f>+G6/2</f>
        <v>6.7823548773094116</v>
      </c>
      <c r="L8" s="16" t="s">
        <v>154</v>
      </c>
      <c r="M8" s="43">
        <f>+M6</f>
        <v>2.365791071760603</v>
      </c>
      <c r="N8" s="25"/>
      <c r="R8" s="16" t="s">
        <v>155</v>
      </c>
      <c r="S8" s="43">
        <f>$S$4+$S$6*$S$5/(COUNT(U4:U30)^0.5)</f>
        <v>58.578863349459148</v>
      </c>
      <c r="U8" s="1">
        <v>61.4</v>
      </c>
      <c r="AA8" s="16" t="s">
        <v>149</v>
      </c>
      <c r="AB8" s="43">
        <f>CHIINV(1-((1-AB4)/2),COUNT(AD5:AD30)-1)</f>
        <v>11.591305208820739</v>
      </c>
      <c r="AD8" s="1">
        <v>14.6</v>
      </c>
      <c r="AH8" s="101">
        <v>11.9</v>
      </c>
      <c r="AJ8" s="16" t="s">
        <v>156</v>
      </c>
      <c r="AK8" s="103">
        <f>AVERAGE(AH4:AH31)</f>
        <v>7.7272727272727284</v>
      </c>
      <c r="AM8" s="16" t="s">
        <v>156</v>
      </c>
      <c r="AN8" s="103">
        <f>AVERAGE(AH4:AH31)</f>
        <v>7.7272727272727284</v>
      </c>
      <c r="AO8" s="387"/>
      <c r="AP8" s="387"/>
      <c r="AQ8" s="387"/>
    </row>
    <row r="9" spans="2:45" ht="15.5" x14ac:dyDescent="0.35">
      <c r="F9" s="16" t="s">
        <v>157</v>
      </c>
      <c r="G9" s="43">
        <f>+G7/2</f>
        <v>25.446090655758542</v>
      </c>
      <c r="L9" s="16" t="s">
        <v>158</v>
      </c>
      <c r="M9" s="43">
        <f>(M3-M4)/(M3-M4+(M4+1)*M7)</f>
        <v>5.7625954707397543E-2</v>
      </c>
      <c r="N9" s="25"/>
      <c r="R9" s="93" t="s">
        <v>137</v>
      </c>
      <c r="U9" s="1">
        <v>63.9</v>
      </c>
      <c r="AA9" s="16" t="s">
        <v>159</v>
      </c>
      <c r="AB9" s="43">
        <f>+(((AB6^2)*(COUNT(AD5:AD30)-1))/AB7)^0.5</f>
        <v>4.5818948247172511</v>
      </c>
      <c r="AD9" s="1">
        <v>7</v>
      </c>
      <c r="AH9" s="101">
        <v>7.1</v>
      </c>
      <c r="AJ9" s="16" t="s">
        <v>160</v>
      </c>
      <c r="AK9" s="103">
        <f>(1-AK5)/2</f>
        <v>0.34082000000000001</v>
      </c>
      <c r="AM9" s="16" t="s">
        <v>160</v>
      </c>
      <c r="AN9" s="103">
        <f>(1-AN5)</f>
        <v>4.0000000000000036E-2</v>
      </c>
      <c r="AO9" s="387"/>
      <c r="AP9" s="387"/>
      <c r="AQ9" s="387"/>
    </row>
    <row r="10" spans="2:45" ht="15.5" x14ac:dyDescent="0.35">
      <c r="F10" s="93" t="s">
        <v>137</v>
      </c>
      <c r="L10" s="16" t="s">
        <v>161</v>
      </c>
      <c r="M10" s="43">
        <f>+((M3-M4+1)*M6)/(M4+(M3-M4+1)*M8)</f>
        <v>0.41031508813207845</v>
      </c>
      <c r="N10" s="25"/>
      <c r="R10" s="16" t="s">
        <v>162</v>
      </c>
      <c r="S10" s="36">
        <v>0.93</v>
      </c>
      <c r="U10" s="1">
        <v>60.8</v>
      </c>
      <c r="AA10" s="16" t="s">
        <v>163</v>
      </c>
      <c r="AB10" s="43">
        <f>+(((AB6^2)*(COUNT(AD5:AD30)-1))/AB8)^0.5</f>
        <v>7.6923196587965776</v>
      </c>
      <c r="AD10" s="1">
        <v>-2.2000000000000002</v>
      </c>
      <c r="AH10" s="101">
        <v>15.6</v>
      </c>
      <c r="AJ10" s="16" t="s">
        <v>164</v>
      </c>
      <c r="AK10" s="103">
        <f>1-(1-AK5)/2</f>
        <v>0.65917999999999999</v>
      </c>
      <c r="AM10" s="16" t="s">
        <v>164</v>
      </c>
      <c r="AN10" s="103">
        <f>AN5</f>
        <v>0.96</v>
      </c>
      <c r="AO10" s="387"/>
      <c r="AP10" s="387"/>
      <c r="AQ10" s="387"/>
    </row>
    <row r="11" spans="2:45" ht="13" x14ac:dyDescent="0.3">
      <c r="F11" s="16" t="s">
        <v>162</v>
      </c>
      <c r="G11" s="36">
        <v>0.97</v>
      </c>
      <c r="R11" s="16" t="s">
        <v>136</v>
      </c>
      <c r="S11" s="43">
        <f>AVERAGE(U4:U30)</f>
        <v>55.938095238095244</v>
      </c>
      <c r="U11" s="1">
        <v>51.1</v>
      </c>
      <c r="AA11" s="16"/>
      <c r="AD11" s="1">
        <v>-0.1</v>
      </c>
      <c r="AH11" s="101">
        <v>16.7</v>
      </c>
      <c r="AJ11" s="16" t="s">
        <v>165</v>
      </c>
      <c r="AK11" s="103">
        <f>CHIINV(AK9,AK6-1)</f>
        <v>23.059390631848416</v>
      </c>
      <c r="AM11" s="16" t="s">
        <v>165</v>
      </c>
      <c r="AN11" s="103">
        <f>CHIINV(AN9,AN6-1)</f>
        <v>33.597245613406592</v>
      </c>
      <c r="AO11" s="387"/>
      <c r="AP11" s="387"/>
      <c r="AQ11" s="387"/>
    </row>
    <row r="12" spans="2:45" ht="15.25" customHeight="1" x14ac:dyDescent="0.35">
      <c r="F12" s="16" t="s">
        <v>139</v>
      </c>
      <c r="G12" s="8">
        <v>11</v>
      </c>
      <c r="K12" s="388" t="s">
        <v>166</v>
      </c>
      <c r="L12" s="388"/>
      <c r="M12" s="388"/>
      <c r="N12" s="388"/>
      <c r="R12" s="16" t="s">
        <v>141</v>
      </c>
      <c r="S12" s="43">
        <f>STDEV(U4:U30)</f>
        <v>6.3216672002309586</v>
      </c>
      <c r="U12" s="1">
        <v>55.6</v>
      </c>
      <c r="AA12" s="93" t="s">
        <v>137</v>
      </c>
      <c r="AD12" s="1">
        <v>13.9</v>
      </c>
      <c r="AH12" s="101">
        <v>8</v>
      </c>
      <c r="AJ12" s="105" t="s">
        <v>167</v>
      </c>
      <c r="AK12" s="106">
        <f>CHIINV(AK10,AK6-1)</f>
        <v>17.838821298935073</v>
      </c>
      <c r="AM12" s="105" t="s">
        <v>167</v>
      </c>
      <c r="AN12" s="106">
        <f>CHIINV(AN10,AN6-1)</f>
        <v>11.139538953516119</v>
      </c>
      <c r="AO12" s="387"/>
      <c r="AP12" s="387"/>
      <c r="AQ12" s="387"/>
    </row>
    <row r="13" spans="2:45" ht="13" x14ac:dyDescent="0.3">
      <c r="F13" s="16" t="s">
        <v>144</v>
      </c>
      <c r="G13" s="43">
        <f>CHIINV(1-((1-G11)),G12*2)</f>
        <v>11.312536003874222</v>
      </c>
      <c r="K13" s="388"/>
      <c r="L13" s="388"/>
      <c r="M13" s="388"/>
      <c r="N13" s="388"/>
      <c r="R13" s="16" t="s">
        <v>146</v>
      </c>
      <c r="S13" s="43">
        <f>TINV((1-S10)*2,COUNT(U4:U30)-1)</f>
        <v>1.5368521116394016</v>
      </c>
      <c r="U13" s="1">
        <v>59.5</v>
      </c>
      <c r="AA13" s="16" t="s">
        <v>162</v>
      </c>
      <c r="AB13" s="36">
        <v>0.92</v>
      </c>
      <c r="AD13" s="1">
        <v>0</v>
      </c>
      <c r="AH13" s="101">
        <v>8.9</v>
      </c>
      <c r="AJ13" s="107" t="s">
        <v>168</v>
      </c>
      <c r="AK13" s="108">
        <f>(AK6-1)*AK7/AK11</f>
        <v>23.221066198691371</v>
      </c>
      <c r="AM13" s="107" t="s">
        <v>168</v>
      </c>
      <c r="AN13" s="109">
        <f>(AN6-1)*AN7/AN11</f>
        <v>15.937724256477892</v>
      </c>
      <c r="AO13" s="389" t="s">
        <v>169</v>
      </c>
      <c r="AP13" s="389"/>
      <c r="AQ13" s="389"/>
    </row>
    <row r="14" spans="2:45" ht="13" x14ac:dyDescent="0.3">
      <c r="F14" s="16" t="s">
        <v>149</v>
      </c>
      <c r="G14" s="43">
        <f>CHIINV(((1-G11)),2*G12+2)</f>
        <v>38.609260626645501</v>
      </c>
      <c r="K14" s="388"/>
      <c r="L14" s="388"/>
      <c r="M14" s="388"/>
      <c r="N14" s="388"/>
      <c r="R14" s="16" t="s">
        <v>151</v>
      </c>
      <c r="S14" s="43">
        <f>$S$11-$S$13*$S$12/(COUNT(U4:U30)^0.5)</f>
        <v>53.818006398875291</v>
      </c>
      <c r="U14" s="1">
        <v>64.2</v>
      </c>
      <c r="AA14" s="16" t="s">
        <v>136</v>
      </c>
      <c r="AB14" s="43">
        <f>AVERAGE(AD5:AD30)</f>
        <v>5.1909090909090896</v>
      </c>
      <c r="AD14" s="1">
        <v>11.4</v>
      </c>
      <c r="AH14" s="1">
        <v>5.6</v>
      </c>
      <c r="AJ14" s="16" t="s">
        <v>170</v>
      </c>
      <c r="AK14" s="108">
        <f>(AK6-1)*AK7/AK12</f>
        <v>30.016761051112798</v>
      </c>
      <c r="AM14" s="16" t="s">
        <v>170</v>
      </c>
      <c r="AN14" s="108">
        <f>(AN6-1)*AN7/AN12</f>
        <v>48.068743113880871</v>
      </c>
      <c r="AP14" s="16"/>
      <c r="AQ14" s="103"/>
    </row>
    <row r="15" spans="2:45" ht="13" x14ac:dyDescent="0.3">
      <c r="F15" s="16" t="s">
        <v>153</v>
      </c>
      <c r="G15" s="43">
        <f>+G13/2</f>
        <v>5.6562680019371108</v>
      </c>
      <c r="K15" s="388"/>
      <c r="L15" s="388"/>
      <c r="M15" s="388"/>
      <c r="N15" s="388"/>
      <c r="R15" s="16" t="s">
        <v>155</v>
      </c>
      <c r="S15" s="43">
        <f>$S$11+$S$13*$S$12/(COUNT(U4:U30)^0.5)</f>
        <v>58.058184077315197</v>
      </c>
      <c r="U15" s="1">
        <v>55.1</v>
      </c>
      <c r="AA15" s="16" t="s">
        <v>141</v>
      </c>
      <c r="AB15" s="43">
        <f>STDEV(AD5:AD30)</f>
        <v>5.7149685739176039</v>
      </c>
      <c r="AD15" s="1">
        <v>6.5</v>
      </c>
      <c r="AH15" s="1">
        <v>5.7</v>
      </c>
      <c r="AJ15" s="16" t="s">
        <v>171</v>
      </c>
      <c r="AK15" s="43">
        <f>SQRT(AK13)</f>
        <v>4.8188241510446685</v>
      </c>
      <c r="AM15" s="16" t="s">
        <v>171</v>
      </c>
      <c r="AN15" s="108">
        <f>SQRT(AN13)</f>
        <v>3.9922079425398036</v>
      </c>
    </row>
    <row r="16" spans="2:45" x14ac:dyDescent="0.25">
      <c r="F16" s="16" t="s">
        <v>157</v>
      </c>
      <c r="G16" s="43">
        <f>+G14/2</f>
        <v>19.30463031332275</v>
      </c>
      <c r="K16" s="388"/>
      <c r="L16" s="388"/>
      <c r="M16" s="388"/>
      <c r="N16" s="388"/>
      <c r="U16" s="1">
        <v>46</v>
      </c>
      <c r="AA16" s="16" t="s">
        <v>144</v>
      </c>
      <c r="AB16" s="43">
        <f>CHIINV((1-AB13),COUNT(AD5:AD30)-1)</f>
        <v>30.632242980327796</v>
      </c>
      <c r="AD16" s="1">
        <v>-2.5</v>
      </c>
      <c r="AH16" s="1">
        <v>8.4</v>
      </c>
      <c r="AJ16" s="16" t="s">
        <v>172</v>
      </c>
      <c r="AK16" s="110">
        <f>SQRT(AK14)</f>
        <v>5.4787554290288227</v>
      </c>
      <c r="AM16" s="16" t="s">
        <v>172</v>
      </c>
      <c r="AN16" s="110">
        <f>SQRT(AN14)</f>
        <v>6.9331625621992217</v>
      </c>
    </row>
    <row r="17" spans="1:83" ht="12.75" customHeight="1" x14ac:dyDescent="0.25">
      <c r="K17" s="388"/>
      <c r="L17" s="388"/>
      <c r="M17" s="388"/>
      <c r="N17" s="388"/>
      <c r="Q17" s="387" t="s">
        <v>173</v>
      </c>
      <c r="R17" s="387"/>
      <c r="S17" s="387"/>
      <c r="U17" s="1">
        <v>46.5</v>
      </c>
      <c r="AA17" s="16" t="s">
        <v>149</v>
      </c>
      <c r="AB17" s="43">
        <f>CHIINV(1-((1-AB13)),COUNT(AD5:AD30)-1)</f>
        <v>12.662026417884936</v>
      </c>
      <c r="AD17" s="1">
        <v>4.5999999999999996</v>
      </c>
      <c r="AH17" s="1">
        <v>10.1</v>
      </c>
      <c r="BC17" s="111"/>
      <c r="BD17" s="111"/>
      <c r="BE17" s="111"/>
      <c r="BF17" s="111"/>
      <c r="BG17" s="111"/>
      <c r="BH17" s="111"/>
      <c r="BI17" s="111"/>
      <c r="BJ17" s="111"/>
    </row>
    <row r="18" spans="1:83" x14ac:dyDescent="0.25">
      <c r="Q18" s="387"/>
      <c r="R18" s="387"/>
      <c r="S18" s="387"/>
      <c r="U18" s="1">
        <v>54</v>
      </c>
      <c r="AA18" s="16" t="s">
        <v>159</v>
      </c>
      <c r="AB18" s="43">
        <f>+(((AB15^2)*(COUNT(AD5:AD30)-1))/AB16)^0.5</f>
        <v>4.7318840575266696</v>
      </c>
      <c r="AD18" s="1">
        <v>-3</v>
      </c>
      <c r="AH18" s="1">
        <v>-0.4</v>
      </c>
      <c r="AJ18" s="390" t="s">
        <v>174</v>
      </c>
      <c r="AK18" s="390"/>
      <c r="AL18" s="390"/>
      <c r="AM18" s="390"/>
      <c r="AN18" s="390"/>
      <c r="BC18" s="111"/>
      <c r="BD18" s="111"/>
      <c r="BE18" s="111"/>
      <c r="BF18" s="111"/>
      <c r="BG18" s="111"/>
      <c r="BH18" s="111"/>
      <c r="BI18" s="111"/>
      <c r="BJ18" s="111"/>
    </row>
    <row r="19" spans="1:83" ht="12.75" customHeight="1" x14ac:dyDescent="0.3">
      <c r="A19" s="112"/>
      <c r="B19" s="113"/>
      <c r="C19" s="113"/>
      <c r="D19" s="113"/>
      <c r="E19" s="113"/>
      <c r="F19" s="113"/>
      <c r="G19" s="113"/>
      <c r="K19" s="391" t="s">
        <v>175</v>
      </c>
      <c r="L19" s="391"/>
      <c r="M19" s="391"/>
      <c r="N19" s="391"/>
      <c r="Q19" s="387"/>
      <c r="R19" s="387"/>
      <c r="S19" s="387"/>
      <c r="U19" s="1">
        <v>57.7</v>
      </c>
      <c r="AA19" s="16" t="s">
        <v>163</v>
      </c>
      <c r="AB19" s="43">
        <f>+(((AB15^2)*(COUNT(AD5:AD30)-1))/AB17)^0.5</f>
        <v>7.3598995383052843</v>
      </c>
      <c r="AD19" s="1">
        <v>-2.9</v>
      </c>
      <c r="AH19" s="1">
        <v>16</v>
      </c>
      <c r="AJ19" s="16" t="s">
        <v>176</v>
      </c>
      <c r="AK19" s="114">
        <v>6.6</v>
      </c>
      <c r="AL19" t="s">
        <v>177</v>
      </c>
    </row>
    <row r="20" spans="1:83" ht="13" x14ac:dyDescent="0.3">
      <c r="A20" s="112"/>
      <c r="B20" s="113"/>
      <c r="C20" s="113"/>
      <c r="D20" s="113"/>
      <c r="E20" s="113"/>
      <c r="F20" s="113"/>
      <c r="G20" s="113"/>
      <c r="K20" s="391"/>
      <c r="L20" s="391"/>
      <c r="M20" s="391"/>
      <c r="N20" s="391"/>
      <c r="Q20" s="387"/>
      <c r="R20" s="387"/>
      <c r="S20" s="387"/>
      <c r="U20" s="1">
        <v>46.7</v>
      </c>
      <c r="AD20" s="1">
        <v>8.8000000000000007</v>
      </c>
      <c r="AH20" s="1">
        <v>5.3</v>
      </c>
      <c r="AJ20" s="16" t="s">
        <v>147</v>
      </c>
      <c r="AK20" s="103">
        <f>COUNT(AH4:AH29)</f>
        <v>22</v>
      </c>
    </row>
    <row r="21" spans="1:83" ht="13" x14ac:dyDescent="0.3">
      <c r="K21" s="391"/>
      <c r="L21" s="391"/>
      <c r="M21" s="391"/>
      <c r="N21" s="391"/>
      <c r="Q21" s="387"/>
      <c r="R21" s="387"/>
      <c r="S21" s="387"/>
      <c r="U21" s="1">
        <v>63.5</v>
      </c>
      <c r="AD21" s="1">
        <v>6.6</v>
      </c>
      <c r="AH21" s="1">
        <v>0.8</v>
      </c>
      <c r="AJ21" s="16" t="s">
        <v>152</v>
      </c>
      <c r="AK21" s="103">
        <f>(STDEV(AH4:AH29)^2)</f>
        <v>25.498268398268365</v>
      </c>
    </row>
    <row r="22" spans="1:83" ht="13" x14ac:dyDescent="0.3">
      <c r="K22" s="391"/>
      <c r="L22" s="391"/>
      <c r="M22" s="391"/>
      <c r="N22" s="391"/>
      <c r="Q22" s="387"/>
      <c r="R22" s="387"/>
      <c r="S22" s="387"/>
      <c r="U22" s="1">
        <v>51.1</v>
      </c>
      <c r="AD22" s="69">
        <v>8.1999999999999993</v>
      </c>
      <c r="AH22" s="1">
        <v>8.6</v>
      </c>
      <c r="AJ22" s="105" t="s">
        <v>156</v>
      </c>
      <c r="AK22" s="106">
        <f>AVERAGE(AH4:AH29)</f>
        <v>7.7272727272727284</v>
      </c>
    </row>
    <row r="23" spans="1:83" ht="12.9" customHeight="1" x14ac:dyDescent="0.3">
      <c r="B23" s="387" t="s">
        <v>178</v>
      </c>
      <c r="C23" s="387"/>
      <c r="D23" s="387"/>
      <c r="E23" s="387"/>
      <c r="F23" s="387"/>
      <c r="G23" s="387"/>
      <c r="K23" s="391"/>
      <c r="L23" s="391"/>
      <c r="M23" s="391"/>
      <c r="N23" s="391"/>
      <c r="Q23" s="387"/>
      <c r="R23" s="387"/>
      <c r="S23" s="387"/>
      <c r="U23" s="1">
        <v>47.8</v>
      </c>
      <c r="AD23" s="69">
        <v>-2.9</v>
      </c>
      <c r="AH23" s="1">
        <v>10.9</v>
      </c>
      <c r="AJ23" s="16" t="s">
        <v>179</v>
      </c>
      <c r="AK23" s="108">
        <f>(AK20-1)*AK21/AK19^2</f>
        <v>12.292553635528829</v>
      </c>
      <c r="AL23" s="115" t="s">
        <v>180</v>
      </c>
      <c r="AM23" s="115"/>
    </row>
    <row r="24" spans="1:83" ht="13" x14ac:dyDescent="0.3">
      <c r="B24" s="387"/>
      <c r="C24" s="387"/>
      <c r="D24" s="387"/>
      <c r="E24" s="387"/>
      <c r="F24" s="387"/>
      <c r="G24" s="387"/>
      <c r="K24" s="391"/>
      <c r="L24" s="391"/>
      <c r="M24" s="391"/>
      <c r="N24" s="391"/>
      <c r="Q24" s="387"/>
      <c r="R24" s="387"/>
      <c r="S24" s="387"/>
      <c r="U24" s="1">
        <v>57.7</v>
      </c>
      <c r="AD24" s="69">
        <v>12.6</v>
      </c>
      <c r="AH24" s="1">
        <v>0.2</v>
      </c>
      <c r="AJ24" s="16" t="s">
        <v>181</v>
      </c>
      <c r="AK24" s="116">
        <f>1-CHIDIST(AK23,AK20-1)</f>
        <v>6.861894878288477E-2</v>
      </c>
      <c r="AL24" s="117" t="s">
        <v>182</v>
      </c>
    </row>
    <row r="25" spans="1:83" ht="13" x14ac:dyDescent="0.3">
      <c r="B25" s="387"/>
      <c r="C25" s="387"/>
      <c r="D25" s="387"/>
      <c r="E25" s="387"/>
      <c r="F25" s="387"/>
      <c r="G25" s="387"/>
      <c r="K25" s="391"/>
      <c r="L25" s="391"/>
      <c r="M25" s="391"/>
      <c r="N25" s="391"/>
      <c r="Q25" s="387"/>
      <c r="R25" s="387"/>
      <c r="S25" s="387"/>
      <c r="U25" s="1"/>
      <c r="AD25" s="69">
        <v>8.1</v>
      </c>
      <c r="AH25" s="1">
        <v>2.4</v>
      </c>
      <c r="AJ25" s="16" t="s">
        <v>181</v>
      </c>
      <c r="AK25" s="118">
        <f>ABS(1-(1-AK24)*2)</f>
        <v>0.86276210243423046</v>
      </c>
      <c r="AL25" s="117" t="s">
        <v>183</v>
      </c>
    </row>
    <row r="26" spans="1:83" x14ac:dyDescent="0.25">
      <c r="B26" s="387"/>
      <c r="C26" s="387"/>
      <c r="D26" s="387"/>
      <c r="E26" s="387"/>
      <c r="F26" s="387"/>
      <c r="G26" s="387"/>
      <c r="K26" s="391"/>
      <c r="L26" s="391"/>
      <c r="M26" s="391"/>
      <c r="N26" s="391"/>
      <c r="Q26" s="387"/>
      <c r="R26" s="387"/>
      <c r="S26" s="387"/>
      <c r="U26" s="1"/>
      <c r="AD26" s="69">
        <v>10</v>
      </c>
      <c r="AH26" s="1">
        <v>9.5</v>
      </c>
    </row>
    <row r="27" spans="1:83" x14ac:dyDescent="0.25">
      <c r="B27" s="387"/>
      <c r="C27" s="387"/>
      <c r="D27" s="387"/>
      <c r="E27" s="387"/>
      <c r="F27" s="387"/>
      <c r="G27" s="387"/>
      <c r="K27" s="391"/>
      <c r="L27" s="391"/>
      <c r="M27" s="391"/>
      <c r="N27" s="391"/>
      <c r="U27" s="1"/>
      <c r="AD27" s="69"/>
      <c r="AH27" s="1"/>
    </row>
    <row r="28" spans="1:83" x14ac:dyDescent="0.25">
      <c r="B28" s="387"/>
      <c r="C28" s="387"/>
      <c r="D28" s="387"/>
      <c r="E28" s="387"/>
      <c r="F28" s="387"/>
      <c r="G28" s="387"/>
      <c r="K28" s="391"/>
      <c r="L28" s="391"/>
      <c r="M28" s="391"/>
      <c r="N28" s="391"/>
      <c r="U28" s="1"/>
      <c r="AD28" s="69"/>
      <c r="AH28" s="1"/>
    </row>
    <row r="29" spans="1:83" x14ac:dyDescent="0.25">
      <c r="U29" s="1"/>
      <c r="AD29" s="69"/>
      <c r="AH29" s="1"/>
    </row>
    <row r="30" spans="1:83" s="119" customFormat="1" x14ac:dyDescent="0.25">
      <c r="U30" s="1"/>
      <c r="AD30" s="120"/>
      <c r="AH30" s="121"/>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row>
    <row r="31" spans="1:83" x14ac:dyDescent="0.25">
      <c r="U31" s="32"/>
      <c r="AH31" s="122"/>
    </row>
    <row r="32" spans="1:83" x14ac:dyDescent="0.25">
      <c r="U32" s="32"/>
    </row>
    <row r="33" spans="1:40" ht="18" x14ac:dyDescent="0.4">
      <c r="A33" s="123" t="s">
        <v>184</v>
      </c>
      <c r="B33" s="34"/>
      <c r="C33" s="34"/>
      <c r="D33" s="34"/>
      <c r="E33" s="34"/>
      <c r="F33" s="34"/>
      <c r="G33" s="34"/>
      <c r="I33" s="124" t="s">
        <v>185</v>
      </c>
      <c r="J33" s="34"/>
      <c r="K33" s="34"/>
      <c r="L33" s="34"/>
      <c r="M33" s="34"/>
      <c r="N33" s="34"/>
      <c r="O33" s="34"/>
      <c r="P33" s="34"/>
      <c r="Q33" s="34"/>
      <c r="R33" s="87" t="s">
        <v>186</v>
      </c>
      <c r="S33" s="88"/>
      <c r="T33" s="88"/>
      <c r="U33" s="88"/>
      <c r="V33" s="88"/>
      <c r="X33" s="34"/>
      <c r="Y33" s="123" t="s">
        <v>187</v>
      </c>
      <c r="Z33" s="34"/>
      <c r="AA33" s="34"/>
      <c r="AB33" s="34"/>
      <c r="AC33" s="34"/>
      <c r="AD33" s="34"/>
      <c r="AE33" s="34"/>
      <c r="AF33" s="34"/>
      <c r="AJ33" s="392" t="s">
        <v>188</v>
      </c>
      <c r="AK33" s="392"/>
      <c r="AL33" s="392"/>
      <c r="AM33" s="392"/>
      <c r="AN33" s="392"/>
    </row>
    <row r="34" spans="1:40" ht="13" x14ac:dyDescent="0.3">
      <c r="R34" s="393" t="s">
        <v>189</v>
      </c>
      <c r="S34" s="393"/>
      <c r="T34" s="393"/>
      <c r="U34" s="393"/>
      <c r="V34" s="393"/>
      <c r="Y34" s="117" t="s">
        <v>190</v>
      </c>
      <c r="Z34" s="19"/>
      <c r="AA34" s="19"/>
      <c r="AB34" s="19"/>
      <c r="AC34" s="19"/>
      <c r="AD34" s="19"/>
      <c r="AK34" s="32"/>
    </row>
    <row r="35" spans="1:40" ht="12.9" customHeight="1" x14ac:dyDescent="0.3">
      <c r="K35" s="16" t="s">
        <v>73</v>
      </c>
      <c r="L35" s="43">
        <f>COUNT(N36:N77)</f>
        <v>5</v>
      </c>
      <c r="N35" s="1" t="s">
        <v>99</v>
      </c>
      <c r="O35" s="394" t="s">
        <v>191</v>
      </c>
      <c r="P35" s="394"/>
      <c r="Y35" s="125" t="s">
        <v>192</v>
      </c>
      <c r="Z35" s="125" t="s">
        <v>193</v>
      </c>
      <c r="AB35" s="126" t="s">
        <v>194</v>
      </c>
      <c r="AC35" s="127"/>
      <c r="AD35" s="127"/>
      <c r="AE35" s="127"/>
      <c r="AF35" s="127"/>
      <c r="AG35" s="128"/>
      <c r="AK35" s="32"/>
    </row>
    <row r="36" spans="1:40" ht="13" x14ac:dyDescent="0.3">
      <c r="K36" s="16" t="s">
        <v>195</v>
      </c>
      <c r="L36" s="43">
        <f>STDEV(N36:N77)</f>
        <v>2.8892905703649836</v>
      </c>
      <c r="N36" s="1">
        <v>6</v>
      </c>
      <c r="O36" s="394"/>
      <c r="P36" s="394"/>
      <c r="S36" s="23" t="s">
        <v>196</v>
      </c>
      <c r="Y36" s="129">
        <v>147.16</v>
      </c>
      <c r="Z36" s="129">
        <v>243.91</v>
      </c>
      <c r="AB36" s="130" t="s">
        <v>197</v>
      </c>
      <c r="AC36" s="19"/>
      <c r="AD36" s="19"/>
      <c r="AE36" s="19"/>
      <c r="AF36" s="19"/>
      <c r="AG36" s="131"/>
      <c r="AK36" s="32"/>
    </row>
    <row r="37" spans="1:40" x14ac:dyDescent="0.25">
      <c r="K37" s="16" t="s">
        <v>198</v>
      </c>
      <c r="L37" s="8">
        <v>5.9</v>
      </c>
      <c r="N37" s="1">
        <v>11.2</v>
      </c>
      <c r="O37" s="394"/>
      <c r="P37" s="394"/>
      <c r="S37" s="16" t="s">
        <v>199</v>
      </c>
      <c r="T37" s="8">
        <v>0</v>
      </c>
      <c r="Y37" s="129">
        <v>159.03</v>
      </c>
      <c r="Z37" s="129">
        <v>211.02</v>
      </c>
      <c r="AB37" s="132" t="s">
        <v>200</v>
      </c>
      <c r="AC37" s="133"/>
      <c r="AD37" s="133"/>
      <c r="AE37" s="133"/>
      <c r="AF37" s="133"/>
      <c r="AG37" s="134"/>
      <c r="AK37" s="32"/>
    </row>
    <row r="38" spans="1:40" ht="13" x14ac:dyDescent="0.3">
      <c r="K38" s="16" t="s">
        <v>201</v>
      </c>
      <c r="L38" s="36">
        <v>0.05</v>
      </c>
      <c r="N38" s="1">
        <v>5.6</v>
      </c>
      <c r="O38" s="394"/>
      <c r="P38" s="394"/>
      <c r="S38" s="16" t="s">
        <v>202</v>
      </c>
      <c r="T38" s="36">
        <v>0.05</v>
      </c>
      <c r="Y38" s="129">
        <v>183.56</v>
      </c>
      <c r="Z38" s="129">
        <v>188.48</v>
      </c>
      <c r="AK38" s="31" t="s">
        <v>99</v>
      </c>
      <c r="AM38" s="16" t="s">
        <v>203</v>
      </c>
      <c r="AN38" s="135">
        <f>SKEW(AK39:AK73)</f>
        <v>0.32813227514035942</v>
      </c>
    </row>
    <row r="39" spans="1:40" x14ac:dyDescent="0.25">
      <c r="K39" s="16" t="s">
        <v>204</v>
      </c>
      <c r="L39" s="43">
        <f>CHIINV(L38,L35-1)</f>
        <v>9.4877290367811575</v>
      </c>
      <c r="N39" s="1">
        <v>11.4</v>
      </c>
      <c r="O39" s="394"/>
      <c r="P39" s="394"/>
      <c r="S39" s="16" t="s">
        <v>205</v>
      </c>
      <c r="T39" s="136">
        <f>AVERAGE(V57:V99)</f>
        <v>5.2499999999997729E-2</v>
      </c>
      <c r="Y39" s="129">
        <v>209.5</v>
      </c>
      <c r="Z39" s="129">
        <v>217.81</v>
      </c>
      <c r="AB39" t="s">
        <v>190</v>
      </c>
      <c r="AJ39" s="32">
        <v>1</v>
      </c>
      <c r="AK39" s="137">
        <v>255.1</v>
      </c>
      <c r="AM39" s="16" t="s">
        <v>206</v>
      </c>
      <c r="AN39" s="138">
        <f>COUNT(AK39:AK73)</f>
        <v>13</v>
      </c>
    </row>
    <row r="40" spans="1:40" ht="13" x14ac:dyDescent="0.3">
      <c r="K40" s="16" t="s">
        <v>207</v>
      </c>
      <c r="L40" s="43">
        <f>CHIINV(1-L38,L35-1)</f>
        <v>0.71072302139732446</v>
      </c>
      <c r="N40" s="1">
        <v>10.5</v>
      </c>
      <c r="O40" s="394"/>
      <c r="P40" s="394"/>
      <c r="S40" s="16" t="s">
        <v>208</v>
      </c>
      <c r="T40" s="43">
        <f>STDEV(V57:V99)</f>
        <v>8.9435363310753399E-2</v>
      </c>
      <c r="Y40" s="129">
        <v>158.35</v>
      </c>
      <c r="Z40" s="129">
        <v>151.87</v>
      </c>
      <c r="AC40" s="119"/>
      <c r="AF40" s="139"/>
      <c r="AG40" s="139"/>
      <c r="AH40" s="139"/>
      <c r="AJ40" s="32">
        <v>2</v>
      </c>
      <c r="AK40" s="140">
        <v>252.3</v>
      </c>
    </row>
    <row r="41" spans="1:40" ht="13" x14ac:dyDescent="0.3">
      <c r="K41" s="16" t="s">
        <v>209</v>
      </c>
      <c r="L41" s="43">
        <f>+((L35-1)*L36^2)/(L37^2)</f>
        <v>0.95926457914392538</v>
      </c>
      <c r="N41" s="1"/>
      <c r="O41" s="394"/>
      <c r="P41" s="394"/>
      <c r="S41" s="16" t="s">
        <v>210</v>
      </c>
      <c r="T41" s="43">
        <f>TINV(T38,COUNT(V57:V99)-1)</f>
        <v>2.0930240544083096</v>
      </c>
      <c r="Y41" s="129">
        <v>165.02</v>
      </c>
      <c r="Z41" s="129">
        <v>210.54</v>
      </c>
      <c r="AB41" s="141"/>
      <c r="AC41" s="34"/>
      <c r="AD41" s="141" t="s">
        <v>192</v>
      </c>
      <c r="AE41" s="141" t="s">
        <v>193</v>
      </c>
      <c r="AJ41" s="32">
        <v>3</v>
      </c>
      <c r="AK41" s="140">
        <v>253.4</v>
      </c>
    </row>
    <row r="42" spans="1:40" x14ac:dyDescent="0.25">
      <c r="K42" s="16" t="s">
        <v>211</v>
      </c>
      <c r="L42" s="43">
        <f>1-CHIDIST(L41,L35-1)</f>
        <v>8.4091385997128953E-2</v>
      </c>
      <c r="N42" s="1"/>
      <c r="O42" s="394"/>
      <c r="P42" s="394"/>
      <c r="S42" s="16" t="s">
        <v>212</v>
      </c>
      <c r="T42" s="43">
        <f>+(T39-T37)/(T40/(COUNT(V58:V67)^0.5))</f>
        <v>1.8563079637970354</v>
      </c>
      <c r="Y42" s="129">
        <v>186.8</v>
      </c>
      <c r="Z42" s="129">
        <v>167.58</v>
      </c>
      <c r="AB42" t="s">
        <v>213</v>
      </c>
      <c r="AD42">
        <v>173.36571428571429</v>
      </c>
      <c r="AE42">
        <v>200.6378947368421</v>
      </c>
      <c r="AJ42" s="32">
        <v>4</v>
      </c>
      <c r="AK42" s="140">
        <v>240.8</v>
      </c>
    </row>
    <row r="43" spans="1:40" x14ac:dyDescent="0.25">
      <c r="K43" s="16"/>
      <c r="L43" s="25"/>
      <c r="N43" s="1"/>
      <c r="O43" s="394"/>
      <c r="P43" s="394"/>
      <c r="S43" s="16" t="s">
        <v>214</v>
      </c>
      <c r="T43" s="110" t="str">
        <f>IF(T42&gt;0,IF(T42&gt;T41,"Reject Null Hypothesis","Fail to Reject Null Hypothesis"),IF(T42&lt;-T41,"Reject Null Hypothesis","Fail to Reject Null Hypothesis"))</f>
        <v>Fail to Reject Null Hypothesis</v>
      </c>
      <c r="Y43" s="129">
        <v>133.28</v>
      </c>
      <c r="Z43" s="129">
        <v>225.12</v>
      </c>
      <c r="AB43" t="s">
        <v>215</v>
      </c>
      <c r="AD43">
        <v>797.5258757142816</v>
      </c>
      <c r="AE43">
        <v>799.79639532163537</v>
      </c>
      <c r="AJ43" s="32">
        <v>5</v>
      </c>
      <c r="AK43" s="140">
        <v>239.9</v>
      </c>
    </row>
    <row r="44" spans="1:40" x14ac:dyDescent="0.25">
      <c r="N44" s="1"/>
      <c r="O44" s="394"/>
      <c r="P44" s="394"/>
      <c r="S44" s="16"/>
      <c r="Y44" s="129">
        <v>215.94</v>
      </c>
      <c r="Z44" s="129">
        <v>172.06</v>
      </c>
      <c r="AB44" t="s">
        <v>216</v>
      </c>
      <c r="AD44">
        <v>21</v>
      </c>
      <c r="AE44">
        <v>19</v>
      </c>
      <c r="AJ44" s="32">
        <v>6</v>
      </c>
      <c r="AK44" s="140">
        <v>237.5</v>
      </c>
    </row>
    <row r="45" spans="1:40" x14ac:dyDescent="0.25">
      <c r="N45" s="1"/>
      <c r="O45" s="394"/>
      <c r="P45" s="394"/>
      <c r="S45" s="16"/>
      <c r="Y45" s="129">
        <v>193.62</v>
      </c>
      <c r="Z45" s="129">
        <v>193.85</v>
      </c>
      <c r="AB45" t="s">
        <v>217</v>
      </c>
      <c r="AD45">
        <v>0</v>
      </c>
      <c r="AJ45" s="32">
        <v>7</v>
      </c>
      <c r="AK45" s="140">
        <v>243.8</v>
      </c>
    </row>
    <row r="46" spans="1:40" ht="13" x14ac:dyDescent="0.3">
      <c r="N46" s="1"/>
      <c r="O46" s="394"/>
      <c r="P46" s="394"/>
      <c r="S46" s="23" t="s">
        <v>218</v>
      </c>
      <c r="Y46" s="129">
        <v>154.41999999999999</v>
      </c>
      <c r="Z46" s="129">
        <v>194.02</v>
      </c>
      <c r="AB46" t="s">
        <v>219</v>
      </c>
      <c r="AD46">
        <v>38</v>
      </c>
      <c r="AJ46" s="32">
        <v>8</v>
      </c>
      <c r="AK46" s="140">
        <v>235.8</v>
      </c>
    </row>
    <row r="47" spans="1:40" x14ac:dyDescent="0.25">
      <c r="N47" s="1"/>
      <c r="O47" s="394"/>
      <c r="P47" s="394"/>
      <c r="S47" s="16" t="s">
        <v>199</v>
      </c>
      <c r="T47" s="8">
        <v>0</v>
      </c>
      <c r="Y47" s="129">
        <v>149.78</v>
      </c>
      <c r="Z47" s="129">
        <v>193.29</v>
      </c>
      <c r="AB47" s="115" t="s">
        <v>220</v>
      </c>
      <c r="AC47" s="115"/>
      <c r="AD47" s="115">
        <v>-3.0477518647508033</v>
      </c>
      <c r="AJ47" s="32">
        <v>9</v>
      </c>
      <c r="AK47" s="140">
        <v>240.8</v>
      </c>
    </row>
    <row r="48" spans="1:40" x14ac:dyDescent="0.25">
      <c r="N48" s="1"/>
      <c r="O48" s="394"/>
      <c r="P48" s="394"/>
      <c r="S48" s="16" t="s">
        <v>202</v>
      </c>
      <c r="T48" s="36">
        <v>0.05</v>
      </c>
      <c r="Y48" s="129">
        <v>170.08</v>
      </c>
      <c r="Z48" s="129">
        <v>205.94</v>
      </c>
      <c r="AB48" t="s">
        <v>221</v>
      </c>
      <c r="AD48">
        <v>2.0904979089905154E-3</v>
      </c>
      <c r="AJ48" s="32">
        <v>10</v>
      </c>
      <c r="AK48" s="140">
        <v>241.9</v>
      </c>
    </row>
    <row r="49" spans="3:37" x14ac:dyDescent="0.25">
      <c r="N49" s="1"/>
      <c r="O49" s="394"/>
      <c r="P49" s="394"/>
      <c r="S49" s="16" t="s">
        <v>205</v>
      </c>
      <c r="T49" s="136">
        <f>AVERAGE(V57:V91)</f>
        <v>5.2499999999997729E-2</v>
      </c>
      <c r="Y49" s="129">
        <v>126.42</v>
      </c>
      <c r="Z49" s="129">
        <v>167.51</v>
      </c>
      <c r="AB49" t="s">
        <v>222</v>
      </c>
      <c r="AD49">
        <v>1.6859544606360437</v>
      </c>
      <c r="AJ49" s="32">
        <v>11</v>
      </c>
      <c r="AK49" s="140">
        <v>254.2</v>
      </c>
    </row>
    <row r="50" spans="3:37" ht="13" x14ac:dyDescent="0.3">
      <c r="C50" s="23" t="s">
        <v>223</v>
      </c>
      <c r="N50" s="1"/>
      <c r="S50" s="16" t="s">
        <v>208</v>
      </c>
      <c r="T50" s="43">
        <f>STDEV(V57:V99)</f>
        <v>8.9435363310753399E-2</v>
      </c>
      <c r="Y50" s="129">
        <v>160.87</v>
      </c>
      <c r="Z50" s="129">
        <v>185.92</v>
      </c>
      <c r="AB50" t="s">
        <v>224</v>
      </c>
      <c r="AD50">
        <v>4.1809958179810309E-3</v>
      </c>
      <c r="AJ50" s="32">
        <v>12</v>
      </c>
      <c r="AK50" s="140">
        <v>239.3</v>
      </c>
    </row>
    <row r="51" spans="3:37" x14ac:dyDescent="0.25">
      <c r="C51" s="16" t="s">
        <v>199</v>
      </c>
      <c r="D51" s="8">
        <v>192</v>
      </c>
      <c r="E51" s="69" t="s">
        <v>99</v>
      </c>
      <c r="N51" s="1"/>
      <c r="S51" s="16" t="s">
        <v>210</v>
      </c>
      <c r="T51" s="43">
        <f>TINV(T48*2,COUNT(V57:V99)-1)</f>
        <v>1.7291328115213698</v>
      </c>
      <c r="Y51" s="129">
        <v>133.78</v>
      </c>
      <c r="Z51" s="129">
        <v>255.33</v>
      </c>
      <c r="AB51" s="119" t="s">
        <v>225</v>
      </c>
      <c r="AC51" s="119"/>
      <c r="AD51" s="119">
        <v>2.0243941467155704</v>
      </c>
      <c r="AE51" s="119"/>
      <c r="AJ51" s="32">
        <v>13</v>
      </c>
      <c r="AK51" s="140">
        <v>251.8</v>
      </c>
    </row>
    <row r="52" spans="3:37" x14ac:dyDescent="0.25">
      <c r="C52" s="16" t="s">
        <v>202</v>
      </c>
      <c r="D52" s="36">
        <v>0.05</v>
      </c>
      <c r="E52" s="69">
        <v>206.6</v>
      </c>
      <c r="N52" s="1"/>
      <c r="S52" s="16" t="s">
        <v>212</v>
      </c>
      <c r="T52" s="43">
        <f>+(T49-T47)/(T50/(COUNT(V58:V67)^0.5))</f>
        <v>1.8563079637970354</v>
      </c>
      <c r="Y52" s="129">
        <v>172.39</v>
      </c>
      <c r="Z52" s="129">
        <v>243.44</v>
      </c>
      <c r="AJ52" s="32">
        <v>14</v>
      </c>
      <c r="AK52" s="140"/>
    </row>
    <row r="53" spans="3:37" ht="18" x14ac:dyDescent="0.4">
      <c r="C53" s="16" t="s">
        <v>205</v>
      </c>
      <c r="D53" s="43">
        <f>AVERAGE(E52:E97)</f>
        <v>206.74166666666665</v>
      </c>
      <c r="E53" s="69">
        <v>213.2</v>
      </c>
      <c r="H53" s="34"/>
      <c r="I53" s="124" t="s">
        <v>226</v>
      </c>
      <c r="J53" s="34"/>
      <c r="K53" s="34"/>
      <c r="L53" s="34"/>
      <c r="M53" s="34"/>
      <c r="N53" s="1"/>
      <c r="S53" s="16" t="s">
        <v>214</v>
      </c>
      <c r="T53" s="110" t="str">
        <f>IF(T52&gt;0,IF(T52&gt;T51,"Reject Null Hypothesis","Fail to Reject Null Hypothesis"),IF(T52&lt;-T51,"Reject Null Hypothesis","Fail to Reject Null Hypothesis"))</f>
        <v>Reject Null Hypothesis</v>
      </c>
      <c r="Y53" s="129">
        <v>213.83</v>
      </c>
      <c r="Z53" s="129">
        <v>208.6</v>
      </c>
      <c r="AJ53" s="32">
        <v>15</v>
      </c>
      <c r="AK53" s="140"/>
    </row>
    <row r="54" spans="3:37" ht="12.75" customHeight="1" x14ac:dyDescent="0.3">
      <c r="C54" s="16" t="s">
        <v>208</v>
      </c>
      <c r="D54" s="43">
        <f>STDEV(E52:E97)</f>
        <v>6.3837091431425996</v>
      </c>
      <c r="E54" s="69">
        <v>212.6</v>
      </c>
      <c r="I54" s="23" t="s">
        <v>227</v>
      </c>
      <c r="N54" s="1"/>
      <c r="S54" s="16"/>
      <c r="Y54" s="129">
        <v>193.89</v>
      </c>
      <c r="Z54" s="129">
        <v>175.83</v>
      </c>
      <c r="AB54" s="142"/>
      <c r="AC54" s="143"/>
      <c r="AD54" s="143"/>
      <c r="AE54" s="143"/>
      <c r="AF54" s="139"/>
      <c r="AJ54" s="32">
        <v>16</v>
      </c>
      <c r="AK54" s="140"/>
    </row>
    <row r="55" spans="3:37" ht="13" x14ac:dyDescent="0.3">
      <c r="C55" s="16" t="s">
        <v>210</v>
      </c>
      <c r="D55" s="43">
        <f>TINV(D52,COUNT(E52:E97)-1)</f>
        <v>2.2009851600916384</v>
      </c>
      <c r="E55" s="69">
        <v>200.5</v>
      </c>
      <c r="I55" s="144" t="s">
        <v>228</v>
      </c>
      <c r="J55" s="145" t="s">
        <v>229</v>
      </c>
      <c r="K55" s="117"/>
      <c r="L55" s="19"/>
      <c r="M55" s="19"/>
      <c r="N55" s="69"/>
      <c r="Y55" s="129">
        <v>217.38</v>
      </c>
      <c r="Z55" s="129"/>
      <c r="AB55" s="143"/>
      <c r="AC55" s="143"/>
      <c r="AD55" s="143"/>
      <c r="AE55" s="143"/>
      <c r="AJ55" s="32">
        <v>17</v>
      </c>
      <c r="AK55" s="140"/>
    </row>
    <row r="56" spans="3:37" x14ac:dyDescent="0.25">
      <c r="C56" s="16" t="s">
        <v>212</v>
      </c>
      <c r="D56" s="43">
        <f>+(D53-D51)/(D54/(COUNT(E52:E97)^0.5))</f>
        <v>7.9995235003271192</v>
      </c>
      <c r="E56" s="69">
        <v>206.9</v>
      </c>
      <c r="N56" s="69"/>
      <c r="S56" s="69" t="s">
        <v>230</v>
      </c>
      <c r="T56" s="69" t="s">
        <v>231</v>
      </c>
      <c r="U56" s="69" t="s">
        <v>232</v>
      </c>
      <c r="V56" s="70"/>
      <c r="Y56" s="129">
        <v>195.58</v>
      </c>
      <c r="Z56" s="129"/>
      <c r="AB56" s="143"/>
      <c r="AC56" s="143"/>
      <c r="AD56" s="143"/>
      <c r="AE56" s="143"/>
      <c r="AJ56" s="32">
        <v>18</v>
      </c>
      <c r="AK56" s="140"/>
    </row>
    <row r="57" spans="3:37" x14ac:dyDescent="0.25">
      <c r="C57" s="16" t="s">
        <v>214</v>
      </c>
      <c r="D57" s="110" t="str">
        <f>IF(D56&gt;0,IF(D56&gt;D55,"Reject Null Hypothesis","Fail to Reject Null Hypothesis"),IF(D56&lt;-D55,"Reject Null Hypothesis","Fail to Reject Null Hypothesis"))</f>
        <v>Reject Null Hypothesis</v>
      </c>
      <c r="E57" s="69">
        <v>211.1</v>
      </c>
      <c r="K57" s="16" t="s">
        <v>233</v>
      </c>
      <c r="L57" s="43">
        <f>STDEV(L67:L103)</f>
        <v>29.470698358958284</v>
      </c>
      <c r="N57" s="69"/>
      <c r="S57" s="69">
        <v>1</v>
      </c>
      <c r="T57" s="69">
        <v>137.69999999999999</v>
      </c>
      <c r="U57" s="69">
        <v>137.76</v>
      </c>
      <c r="V57" s="70">
        <f>T57-U57</f>
        <v>-6.0000000000002274E-2</v>
      </c>
      <c r="AB57" s="143"/>
      <c r="AC57" s="143"/>
      <c r="AD57" s="143"/>
      <c r="AE57" s="143"/>
      <c r="AJ57" s="32">
        <v>19</v>
      </c>
      <c r="AK57" s="140"/>
    </row>
    <row r="58" spans="3:37" x14ac:dyDescent="0.25">
      <c r="C58" s="16"/>
      <c r="E58" s="69">
        <v>207.5</v>
      </c>
      <c r="K58" s="16" t="s">
        <v>234</v>
      </c>
      <c r="L58" s="43">
        <f>COUNT(L67:L108)</f>
        <v>17</v>
      </c>
      <c r="N58" s="69"/>
      <c r="S58" s="69">
        <v>2</v>
      </c>
      <c r="T58" s="69">
        <v>175.62</v>
      </c>
      <c r="U58" s="69">
        <v>175.52</v>
      </c>
      <c r="V58" s="70">
        <f t="shared" ref="V58:V75" si="0">T58-U58</f>
        <v>9.9999999999994316E-2</v>
      </c>
      <c r="AB58" s="143"/>
      <c r="AC58" s="143"/>
      <c r="AD58" s="143"/>
      <c r="AE58" s="143"/>
      <c r="AJ58" s="32">
        <v>20</v>
      </c>
      <c r="AK58" s="140"/>
    </row>
    <row r="59" spans="3:37" x14ac:dyDescent="0.25">
      <c r="C59" s="16"/>
      <c r="E59" s="69">
        <v>195.5</v>
      </c>
      <c r="K59" s="16" t="s">
        <v>235</v>
      </c>
      <c r="L59" s="43">
        <f>STDEV(M67:M129)</f>
        <v>27.213230462813812</v>
      </c>
      <c r="N59" s="69"/>
      <c r="S59" s="69">
        <v>3</v>
      </c>
      <c r="T59" s="69">
        <v>176.17</v>
      </c>
      <c r="U59" s="69">
        <v>176.16</v>
      </c>
      <c r="V59" s="70">
        <f t="shared" si="0"/>
        <v>9.9999999999909051E-3</v>
      </c>
      <c r="AB59" s="143"/>
      <c r="AC59" s="143"/>
      <c r="AD59" s="143"/>
      <c r="AE59" s="143"/>
      <c r="AJ59" s="32">
        <v>21</v>
      </c>
      <c r="AK59" s="140"/>
    </row>
    <row r="60" spans="3:37" ht="13" x14ac:dyDescent="0.3">
      <c r="C60" s="23" t="s">
        <v>236</v>
      </c>
      <c r="E60" s="69">
        <v>208.6</v>
      </c>
      <c r="K60" s="16" t="s">
        <v>237</v>
      </c>
      <c r="L60" s="43">
        <f>COUNT(M67:M147)</f>
        <v>10</v>
      </c>
      <c r="N60" s="69"/>
      <c r="S60" s="69">
        <v>4</v>
      </c>
      <c r="T60" s="69">
        <v>167.18</v>
      </c>
      <c r="U60" s="69">
        <v>167.2</v>
      </c>
      <c r="V60" s="70">
        <f t="shared" si="0"/>
        <v>-1.999999999998181E-2</v>
      </c>
      <c r="AB60" s="143"/>
      <c r="AC60" s="143"/>
      <c r="AD60" s="143"/>
      <c r="AE60" s="143"/>
      <c r="AJ60" s="32">
        <v>22</v>
      </c>
      <c r="AK60" s="140"/>
    </row>
    <row r="61" spans="3:37" x14ac:dyDescent="0.25">
      <c r="C61" s="16" t="s">
        <v>199</v>
      </c>
      <c r="D61" s="8">
        <v>204.6</v>
      </c>
      <c r="E61" s="69">
        <v>211.4</v>
      </c>
      <c r="K61" s="16" t="s">
        <v>238</v>
      </c>
      <c r="L61" s="36">
        <v>0.1</v>
      </c>
      <c r="N61" s="69"/>
      <c r="S61" s="69">
        <v>5</v>
      </c>
      <c r="T61" s="69">
        <v>121.9</v>
      </c>
      <c r="U61" s="69">
        <v>121.84</v>
      </c>
      <c r="V61" s="70">
        <f t="shared" si="0"/>
        <v>6.0000000000002274E-2</v>
      </c>
      <c r="AB61" s="143"/>
      <c r="AC61" s="143"/>
      <c r="AD61" s="143"/>
      <c r="AE61" s="143"/>
      <c r="AJ61" s="32">
        <v>23</v>
      </c>
      <c r="AK61" s="140"/>
    </row>
    <row r="62" spans="3:37" ht="13" x14ac:dyDescent="0.3">
      <c r="C62" s="16" t="s">
        <v>202</v>
      </c>
      <c r="D62" s="36">
        <v>0.41500000000000004</v>
      </c>
      <c r="E62" s="69">
        <v>195.1</v>
      </c>
      <c r="K62" s="16" t="s">
        <v>239</v>
      </c>
      <c r="L62" s="43">
        <f>FINV(1-L61/2,L58-1,L60-1)</f>
        <v>0.3940628071807627</v>
      </c>
      <c r="N62" s="69"/>
      <c r="S62" s="69">
        <v>6</v>
      </c>
      <c r="T62" s="69">
        <v>123.4</v>
      </c>
      <c r="U62" s="69">
        <v>123.09</v>
      </c>
      <c r="V62" s="70">
        <f t="shared" si="0"/>
        <v>0.31000000000000227</v>
      </c>
      <c r="Y62" s="139"/>
      <c r="Z62" s="139"/>
      <c r="AA62" s="139"/>
      <c r="AB62" s="143"/>
      <c r="AC62" s="143"/>
      <c r="AD62" s="143"/>
      <c r="AE62" s="143"/>
      <c r="AJ62" s="32">
        <v>24</v>
      </c>
      <c r="AK62" s="140"/>
    </row>
    <row r="63" spans="3:37" x14ac:dyDescent="0.25">
      <c r="C63" s="16" t="s">
        <v>205</v>
      </c>
      <c r="D63" s="43">
        <f>AVERAGE(E52:E80)</f>
        <v>206.74166666666665</v>
      </c>
      <c r="E63" s="69">
        <v>211.9</v>
      </c>
      <c r="K63" s="16" t="s">
        <v>240</v>
      </c>
      <c r="L63" s="43">
        <f>FINV(L61/2,L58-1,L60-1)</f>
        <v>2.9889655573087768</v>
      </c>
      <c r="N63" s="69"/>
      <c r="S63" s="69">
        <v>7</v>
      </c>
      <c r="T63" s="69">
        <v>173.34</v>
      </c>
      <c r="U63" s="69">
        <v>173.3</v>
      </c>
      <c r="V63" s="70">
        <f t="shared" si="0"/>
        <v>3.9999999999992042E-2</v>
      </c>
      <c r="AB63" s="143"/>
      <c r="AC63" s="143"/>
      <c r="AD63" s="143"/>
      <c r="AE63" s="143"/>
      <c r="AJ63" s="32">
        <v>25</v>
      </c>
      <c r="AK63" s="140"/>
    </row>
    <row r="64" spans="3:37" x14ac:dyDescent="0.25">
      <c r="C64" s="16" t="s">
        <v>208</v>
      </c>
      <c r="D64" s="43">
        <f>STDEV(E52:E97)</f>
        <v>6.3837091431425996</v>
      </c>
      <c r="E64" s="69"/>
      <c r="K64" s="16" t="s">
        <v>241</v>
      </c>
      <c r="L64" s="43">
        <f>L57^2/L59^2</f>
        <v>1.1727910833824498</v>
      </c>
      <c r="N64" s="69"/>
      <c r="S64" s="69">
        <v>8</v>
      </c>
      <c r="T64" s="69">
        <v>130.78</v>
      </c>
      <c r="U64" s="69">
        <v>130.63</v>
      </c>
      <c r="V64" s="70">
        <f t="shared" si="0"/>
        <v>0.15000000000000568</v>
      </c>
      <c r="AB64" s="143"/>
      <c r="AC64" s="143"/>
      <c r="AD64" s="143"/>
      <c r="AE64" s="143"/>
      <c r="AJ64" s="32">
        <v>26</v>
      </c>
      <c r="AK64" s="140"/>
    </row>
    <row r="65" spans="1:37" x14ac:dyDescent="0.25">
      <c r="C65" s="16" t="s">
        <v>210</v>
      </c>
      <c r="D65" s="43">
        <f>TINV(D62*2,COUNT(E52:E97)-1)</f>
        <v>0.21986930663228957</v>
      </c>
      <c r="E65" s="69"/>
      <c r="N65" s="69"/>
      <c r="S65" s="69">
        <v>9</v>
      </c>
      <c r="T65" s="69">
        <v>186.73</v>
      </c>
      <c r="U65" s="69">
        <v>186.7</v>
      </c>
      <c r="V65" s="70">
        <f t="shared" si="0"/>
        <v>3.0000000000001137E-2</v>
      </c>
      <c r="AB65" s="143"/>
      <c r="AC65" s="143"/>
      <c r="AD65" s="143"/>
      <c r="AE65" s="143"/>
      <c r="AJ65" s="32">
        <v>27</v>
      </c>
      <c r="AK65" s="140"/>
    </row>
    <row r="66" spans="1:37" x14ac:dyDescent="0.25">
      <c r="C66" s="16" t="s">
        <v>212</v>
      </c>
      <c r="D66" s="43">
        <f>+(D63-D61)/(D64/(COUNT(E52:E97)^0.5))</f>
        <v>1.162169327068433</v>
      </c>
      <c r="E66" s="69"/>
      <c r="L66" s="146" t="s">
        <v>192</v>
      </c>
      <c r="M66" s="146" t="s">
        <v>193</v>
      </c>
      <c r="N66" s="69"/>
      <c r="O66" s="147"/>
      <c r="S66" s="69">
        <v>10</v>
      </c>
      <c r="T66" s="69">
        <v>129.94</v>
      </c>
      <c r="U66" s="69">
        <v>129.99</v>
      </c>
      <c r="V66" s="70">
        <f t="shared" si="0"/>
        <v>-5.0000000000011369E-2</v>
      </c>
      <c r="AB66" s="143"/>
      <c r="AC66" s="143"/>
      <c r="AD66" s="143"/>
      <c r="AE66" s="143"/>
      <c r="AJ66" s="32">
        <v>28</v>
      </c>
      <c r="AK66" s="140"/>
    </row>
    <row r="67" spans="1:37" x14ac:dyDescent="0.25">
      <c r="C67" s="16" t="s">
        <v>214</v>
      </c>
      <c r="D67" s="110" t="str">
        <f>IF(D66&gt;0,IF(D66&gt;D65,"Reject Null Hypothesis","Fail to Reject Null Hypothesis"),IF(D66&lt;-D65,"Reject Null Hypothesis","Fail to Reject Null Hypothesis"))</f>
        <v>Reject Null Hypothesis</v>
      </c>
      <c r="E67" s="69"/>
      <c r="H67" t="s">
        <v>242</v>
      </c>
      <c r="L67" s="129">
        <v>150.69999999999999</v>
      </c>
      <c r="M67" s="129">
        <v>175.75</v>
      </c>
      <c r="N67" s="69"/>
      <c r="O67" s="147"/>
      <c r="S67" s="69">
        <v>11</v>
      </c>
      <c r="T67" s="69">
        <v>181.67</v>
      </c>
      <c r="U67" s="69">
        <v>181.5</v>
      </c>
      <c r="V67" s="70">
        <f t="shared" si="0"/>
        <v>0.16999999999998749</v>
      </c>
      <c r="AJ67" s="32">
        <v>29</v>
      </c>
      <c r="AK67" s="140"/>
    </row>
    <row r="68" spans="1:37" ht="13" x14ac:dyDescent="0.3">
      <c r="C68" s="16" t="s">
        <v>243</v>
      </c>
      <c r="D68" s="43">
        <f>TDIST(ABS(D66),COUNT(E52:E132)-1,1)</f>
        <v>0.13488084329086394</v>
      </c>
      <c r="E68" s="69"/>
      <c r="L68" s="129">
        <v>176.54</v>
      </c>
      <c r="M68" s="129">
        <v>107.05</v>
      </c>
      <c r="N68" s="69"/>
      <c r="O68" s="148"/>
      <c r="P68" s="139"/>
      <c r="Q68" s="139"/>
      <c r="S68" s="69">
        <v>12</v>
      </c>
      <c r="T68" s="69">
        <v>171.15</v>
      </c>
      <c r="U68" s="69">
        <v>171.12</v>
      </c>
      <c r="V68" s="70">
        <f t="shared" si="0"/>
        <v>3.0000000000001137E-2</v>
      </c>
      <c r="AJ68" s="32">
        <v>30</v>
      </c>
      <c r="AK68" s="140"/>
    </row>
    <row r="69" spans="1:37" ht="13" x14ac:dyDescent="0.3">
      <c r="B69" s="16"/>
      <c r="E69" s="69"/>
      <c r="H69" s="141"/>
      <c r="I69" s="141" t="s">
        <v>192</v>
      </c>
      <c r="J69" s="141" t="s">
        <v>193</v>
      </c>
      <c r="L69" s="129">
        <v>125.93</v>
      </c>
      <c r="M69" s="129">
        <v>110.56</v>
      </c>
      <c r="N69" s="69"/>
      <c r="O69" s="147"/>
      <c r="S69" s="69">
        <v>13</v>
      </c>
      <c r="T69" s="69">
        <v>127.69</v>
      </c>
      <c r="U69" s="69">
        <v>127.72</v>
      </c>
      <c r="V69" s="70">
        <f t="shared" si="0"/>
        <v>-3.0000000000001137E-2</v>
      </c>
      <c r="AD69" s="139"/>
      <c r="AE69" s="139"/>
      <c r="AF69" s="139"/>
      <c r="AJ69" s="32">
        <v>31</v>
      </c>
      <c r="AK69" s="140"/>
    </row>
    <row r="70" spans="1:37" ht="13" x14ac:dyDescent="0.3">
      <c r="E70" s="69"/>
      <c r="H70" t="s">
        <v>213</v>
      </c>
      <c r="I70">
        <v>132.7835294117647</v>
      </c>
      <c r="J70">
        <v>144.44700000000003</v>
      </c>
      <c r="L70" s="129">
        <v>133.79</v>
      </c>
      <c r="M70" s="129">
        <v>172.63</v>
      </c>
      <c r="N70" s="69"/>
      <c r="O70" s="147"/>
      <c r="S70" s="69">
        <v>14</v>
      </c>
      <c r="T70" s="149">
        <v>120.85</v>
      </c>
      <c r="U70" s="149">
        <v>120.71</v>
      </c>
      <c r="V70" s="70">
        <f t="shared" si="0"/>
        <v>0.14000000000000057</v>
      </c>
      <c r="AJ70" s="32">
        <v>32</v>
      </c>
      <c r="AK70" s="140"/>
    </row>
    <row r="71" spans="1:37" ht="12.75" customHeight="1" x14ac:dyDescent="0.25">
      <c r="A71" s="395" t="s">
        <v>244</v>
      </c>
      <c r="B71" s="395"/>
      <c r="C71" s="395"/>
      <c r="E71" s="69"/>
      <c r="H71" t="s">
        <v>215</v>
      </c>
      <c r="I71">
        <v>868.52206176470645</v>
      </c>
      <c r="J71">
        <v>740.55991222221769</v>
      </c>
      <c r="L71" s="129">
        <v>90.63</v>
      </c>
      <c r="M71" s="129">
        <v>127.83</v>
      </c>
      <c r="N71" s="69"/>
      <c r="O71" s="147"/>
      <c r="S71" s="69">
        <v>15</v>
      </c>
      <c r="T71" s="69">
        <v>171.2</v>
      </c>
      <c r="U71" s="69">
        <v>171.15</v>
      </c>
      <c r="V71" s="70">
        <f t="shared" si="0"/>
        <v>4.9999999999982947E-2</v>
      </c>
      <c r="AJ71" s="32">
        <v>33</v>
      </c>
      <c r="AK71" s="140"/>
    </row>
    <row r="72" spans="1:37" x14ac:dyDescent="0.25">
      <c r="A72" s="395"/>
      <c r="B72" s="395"/>
      <c r="C72" s="395"/>
      <c r="E72" s="69"/>
      <c r="H72" t="s">
        <v>216</v>
      </c>
      <c r="I72">
        <v>17</v>
      </c>
      <c r="J72">
        <v>10</v>
      </c>
      <c r="L72" s="129">
        <v>132.76</v>
      </c>
      <c r="M72" s="129">
        <v>143.1</v>
      </c>
      <c r="N72" s="69"/>
      <c r="O72" s="147"/>
      <c r="S72" s="69">
        <v>16</v>
      </c>
      <c r="T72" s="69">
        <v>148.54</v>
      </c>
      <c r="U72" s="69">
        <v>148.5</v>
      </c>
      <c r="V72" s="70">
        <f t="shared" si="0"/>
        <v>3.9999999999992042E-2</v>
      </c>
      <c r="AJ72" s="32">
        <v>34</v>
      </c>
      <c r="AK72" s="140"/>
    </row>
    <row r="73" spans="1:37" x14ac:dyDescent="0.25">
      <c r="A73" s="395"/>
      <c r="B73" s="395"/>
      <c r="C73" s="395"/>
      <c r="E73" s="69"/>
      <c r="H73" t="s">
        <v>219</v>
      </c>
      <c r="I73">
        <v>16</v>
      </c>
      <c r="J73">
        <v>9</v>
      </c>
      <c r="L73" s="129">
        <v>152.81</v>
      </c>
      <c r="M73" s="129">
        <v>125.65</v>
      </c>
      <c r="N73" s="69"/>
      <c r="O73" s="147"/>
      <c r="S73" s="69">
        <v>17</v>
      </c>
      <c r="T73" s="69">
        <v>117.56</v>
      </c>
      <c r="U73" s="69">
        <v>117.48</v>
      </c>
      <c r="V73" s="70">
        <f t="shared" si="0"/>
        <v>7.9999999999998295E-2</v>
      </c>
      <c r="AJ73" s="32">
        <v>35</v>
      </c>
      <c r="AK73" s="150"/>
    </row>
    <row r="74" spans="1:37" x14ac:dyDescent="0.25">
      <c r="A74" s="395"/>
      <c r="B74" s="395"/>
      <c r="C74" s="395"/>
      <c r="E74" s="69"/>
      <c r="H74" s="115" t="s">
        <v>245</v>
      </c>
      <c r="I74" s="115">
        <v>1.1727910833824495</v>
      </c>
      <c r="L74" s="129">
        <v>175.44</v>
      </c>
      <c r="M74" s="129">
        <v>138.52000000000001</v>
      </c>
      <c r="N74" s="69"/>
      <c r="O74" s="147"/>
      <c r="S74" s="69">
        <v>18</v>
      </c>
      <c r="T74" s="69">
        <v>142.78</v>
      </c>
      <c r="U74" s="69">
        <v>142.83000000000001</v>
      </c>
      <c r="V74" s="70">
        <f t="shared" si="0"/>
        <v>-5.0000000000011369E-2</v>
      </c>
    </row>
    <row r="75" spans="1:37" x14ac:dyDescent="0.25">
      <c r="A75" s="395"/>
      <c r="B75" s="395"/>
      <c r="C75" s="395"/>
      <c r="E75" s="69"/>
      <c r="H75" t="s">
        <v>246</v>
      </c>
      <c r="I75">
        <v>0.41789714207412143</v>
      </c>
      <c r="L75" s="129">
        <v>136.63</v>
      </c>
      <c r="M75" s="129">
        <v>181.52</v>
      </c>
      <c r="N75" s="69"/>
      <c r="O75" s="147"/>
      <c r="S75" s="69">
        <v>19</v>
      </c>
      <c r="T75" s="69">
        <v>156.37</v>
      </c>
      <c r="U75" s="69">
        <v>156.32</v>
      </c>
      <c r="V75" s="70">
        <f t="shared" si="0"/>
        <v>5.0000000000011369E-2</v>
      </c>
    </row>
    <row r="76" spans="1:37" x14ac:dyDescent="0.25">
      <c r="A76" s="395"/>
      <c r="B76" s="395"/>
      <c r="C76" s="395"/>
      <c r="E76" s="69"/>
      <c r="H76" s="119" t="s">
        <v>247</v>
      </c>
      <c r="I76" s="119">
        <v>2.3294993124257415</v>
      </c>
      <c r="J76" s="119"/>
      <c r="L76" s="129">
        <v>75.95</v>
      </c>
      <c r="M76" s="129">
        <v>161.86000000000001</v>
      </c>
      <c r="N76" s="69"/>
      <c r="S76" s="69"/>
      <c r="T76" s="69"/>
      <c r="U76" s="69"/>
      <c r="V76" s="70">
        <f>T76-U76</f>
        <v>0</v>
      </c>
    </row>
    <row r="77" spans="1:37" x14ac:dyDescent="0.25">
      <c r="A77" s="395"/>
      <c r="B77" s="395"/>
      <c r="C77" s="395"/>
      <c r="E77" s="69"/>
      <c r="H77" s="16"/>
      <c r="L77" s="129">
        <v>91.34</v>
      </c>
      <c r="M77" s="129"/>
      <c r="N77" s="69"/>
      <c r="S77" s="69"/>
      <c r="T77" s="69"/>
      <c r="U77" s="69"/>
      <c r="V77" s="70"/>
    </row>
    <row r="78" spans="1:37" x14ac:dyDescent="0.25">
      <c r="A78" s="395"/>
      <c r="B78" s="395"/>
      <c r="C78" s="395"/>
      <c r="E78" s="69"/>
      <c r="L78" s="129">
        <v>128.91999999999999</v>
      </c>
      <c r="M78" s="129"/>
      <c r="S78" s="69"/>
      <c r="T78" s="69"/>
      <c r="U78" s="69"/>
      <c r="V78" s="70"/>
    </row>
    <row r="79" spans="1:37" ht="13" x14ac:dyDescent="0.3">
      <c r="A79" s="395"/>
      <c r="B79" s="395"/>
      <c r="C79" s="395"/>
      <c r="E79" s="69"/>
      <c r="G79" s="139"/>
      <c r="H79" s="139"/>
      <c r="I79" s="139"/>
      <c r="L79" s="129">
        <v>163.16999999999999</v>
      </c>
      <c r="M79" s="129"/>
      <c r="R79" s="151"/>
      <c r="S79" s="69"/>
      <c r="T79" s="69"/>
      <c r="U79" s="69"/>
      <c r="V79" s="70"/>
    </row>
    <row r="80" spans="1:37" x14ac:dyDescent="0.25">
      <c r="A80" s="395"/>
      <c r="B80" s="395"/>
      <c r="C80" s="395"/>
      <c r="E80" s="69"/>
      <c r="G80" s="113"/>
      <c r="H80" s="113"/>
      <c r="I80" s="113"/>
      <c r="J80" s="113"/>
      <c r="L80" s="129">
        <v>122.53</v>
      </c>
      <c r="M80" s="129"/>
      <c r="R80" s="151"/>
      <c r="S80" s="69"/>
      <c r="T80" s="69"/>
      <c r="U80" s="69"/>
      <c r="V80" s="70"/>
    </row>
    <row r="81" spans="1:22" x14ac:dyDescent="0.25">
      <c r="A81" s="395"/>
      <c r="B81" s="395"/>
      <c r="C81" s="395"/>
      <c r="E81" s="69"/>
      <c r="G81" s="113"/>
      <c r="H81" s="113"/>
      <c r="I81" s="113"/>
      <c r="J81" s="113"/>
      <c r="L81" s="129">
        <v>152.04</v>
      </c>
      <c r="M81" s="129"/>
      <c r="R81" s="151"/>
      <c r="S81" s="69"/>
      <c r="T81" s="69"/>
      <c r="U81" s="69"/>
      <c r="V81" s="70"/>
    </row>
    <row r="82" spans="1:22" x14ac:dyDescent="0.25">
      <c r="A82" s="395"/>
      <c r="B82" s="395"/>
      <c r="C82" s="395"/>
      <c r="E82" s="69"/>
      <c r="G82" s="113"/>
      <c r="H82" s="113"/>
      <c r="I82" s="113"/>
      <c r="J82" s="113"/>
      <c r="L82" s="129">
        <v>147.38</v>
      </c>
      <c r="M82" s="129"/>
      <c r="N82" s="5"/>
      <c r="O82" s="5"/>
      <c r="P82" s="5"/>
      <c r="Q82" s="5"/>
      <c r="R82" s="151"/>
      <c r="S82" s="69"/>
      <c r="T82" s="69"/>
      <c r="U82" s="69"/>
      <c r="V82" s="70"/>
    </row>
    <row r="83" spans="1:22" x14ac:dyDescent="0.25">
      <c r="A83" s="395"/>
      <c r="B83" s="395"/>
      <c r="C83" s="395"/>
      <c r="E83" s="69"/>
      <c r="L83" s="129">
        <v>100.76</v>
      </c>
      <c r="M83" s="129"/>
      <c r="N83" s="5"/>
      <c r="O83" s="5"/>
      <c r="P83" s="5"/>
      <c r="Q83" s="5"/>
      <c r="R83" s="151"/>
      <c r="S83" s="69"/>
      <c r="T83" s="69"/>
      <c r="U83" s="69"/>
      <c r="V83" s="70"/>
    </row>
    <row r="84" spans="1:22" ht="13" x14ac:dyDescent="0.3">
      <c r="A84" s="395"/>
      <c r="B84" s="395"/>
      <c r="C84" s="395"/>
      <c r="E84" s="69"/>
      <c r="L84" s="129"/>
      <c r="M84" s="129"/>
      <c r="N84" s="5"/>
      <c r="O84" s="5"/>
      <c r="P84" s="5"/>
      <c r="Q84" s="5"/>
      <c r="R84" s="151"/>
      <c r="S84" s="149"/>
      <c r="T84" s="149"/>
      <c r="U84" s="69"/>
      <c r="V84" s="70"/>
    </row>
    <row r="85" spans="1:22" ht="12.9" customHeight="1" x14ac:dyDescent="0.25">
      <c r="E85" s="69"/>
      <c r="G85" s="387" t="s">
        <v>248</v>
      </c>
      <c r="H85" s="387"/>
      <c r="I85" s="387"/>
      <c r="J85" s="387"/>
      <c r="L85" s="129"/>
      <c r="M85" s="129"/>
      <c r="N85" s="5"/>
      <c r="O85" s="5"/>
      <c r="P85" s="5"/>
      <c r="Q85" s="5"/>
      <c r="R85" s="151"/>
      <c r="S85" s="69"/>
      <c r="T85" s="69"/>
      <c r="U85" s="69"/>
      <c r="V85" s="70"/>
    </row>
    <row r="86" spans="1:22" x14ac:dyDescent="0.25">
      <c r="E86" s="69"/>
      <c r="G86" s="387"/>
      <c r="H86" s="387"/>
      <c r="I86" s="387"/>
      <c r="J86" s="387"/>
      <c r="L86" s="129"/>
      <c r="M86" s="129"/>
      <c r="N86" s="5"/>
      <c r="O86" s="5"/>
      <c r="P86" s="5"/>
      <c r="Q86" s="5"/>
      <c r="R86" s="151"/>
      <c r="S86" s="69"/>
      <c r="T86" s="69"/>
      <c r="U86" s="69"/>
      <c r="V86" s="70"/>
    </row>
    <row r="87" spans="1:22" x14ac:dyDescent="0.25">
      <c r="E87" s="69"/>
      <c r="G87" s="387"/>
      <c r="H87" s="387"/>
      <c r="I87" s="387"/>
      <c r="J87" s="387"/>
      <c r="L87" s="129"/>
      <c r="M87" s="129"/>
      <c r="S87" s="69"/>
      <c r="T87" s="69"/>
      <c r="U87" s="69"/>
      <c r="V87" s="70"/>
    </row>
    <row r="88" spans="1:22" x14ac:dyDescent="0.25">
      <c r="E88" s="69"/>
      <c r="G88" s="387"/>
      <c r="H88" s="387"/>
      <c r="I88" s="387"/>
      <c r="J88" s="387"/>
      <c r="L88" s="129"/>
      <c r="M88" s="129"/>
      <c r="S88" s="69"/>
      <c r="T88" s="69"/>
      <c r="U88" s="69"/>
      <c r="V88" s="70"/>
    </row>
    <row r="89" spans="1:22" x14ac:dyDescent="0.25">
      <c r="E89" s="69"/>
      <c r="G89" s="387"/>
      <c r="H89" s="387"/>
      <c r="I89" s="387"/>
      <c r="J89" s="387"/>
      <c r="L89" s="129"/>
      <c r="M89" s="129"/>
      <c r="S89" s="69"/>
      <c r="T89" s="69"/>
      <c r="U89" s="69"/>
      <c r="V89" s="70"/>
    </row>
    <row r="90" spans="1:22" x14ac:dyDescent="0.25">
      <c r="E90" s="69"/>
      <c r="G90" s="387"/>
      <c r="H90" s="387"/>
      <c r="I90" s="387"/>
      <c r="J90" s="387"/>
      <c r="L90" s="129"/>
      <c r="M90" s="129"/>
      <c r="S90" s="69"/>
      <c r="T90" s="69"/>
      <c r="U90" s="69"/>
      <c r="V90" s="70"/>
    </row>
    <row r="91" spans="1:22" x14ac:dyDescent="0.25">
      <c r="E91" s="69"/>
      <c r="G91" s="387"/>
      <c r="H91" s="387"/>
      <c r="I91" s="387"/>
      <c r="J91" s="387"/>
      <c r="L91" s="129"/>
      <c r="M91" s="129"/>
      <c r="S91" s="69"/>
      <c r="T91" s="69"/>
      <c r="U91" s="69"/>
      <c r="V91" s="70"/>
    </row>
    <row r="92" spans="1:22" x14ac:dyDescent="0.25">
      <c r="E92" s="69"/>
      <c r="G92" s="387"/>
      <c r="H92" s="387"/>
      <c r="I92" s="387"/>
      <c r="J92" s="387"/>
      <c r="L92" s="129"/>
      <c r="M92" s="129"/>
      <c r="S92" s="69"/>
      <c r="T92" s="69"/>
      <c r="U92" s="69"/>
      <c r="V92" s="70"/>
    </row>
    <row r="93" spans="1:22" x14ac:dyDescent="0.25">
      <c r="E93" s="69"/>
      <c r="G93" s="387"/>
      <c r="H93" s="387"/>
      <c r="I93" s="387"/>
      <c r="J93" s="387"/>
      <c r="L93" s="129"/>
      <c r="M93" s="129"/>
      <c r="S93" s="69"/>
      <c r="T93" s="69"/>
      <c r="U93" s="69"/>
      <c r="V93" s="70"/>
    </row>
    <row r="94" spans="1:22" x14ac:dyDescent="0.25">
      <c r="E94" s="69"/>
      <c r="G94" s="387"/>
      <c r="H94" s="387"/>
      <c r="I94" s="387"/>
      <c r="J94" s="387"/>
      <c r="L94" s="129"/>
      <c r="M94" s="129"/>
      <c r="S94" s="69"/>
      <c r="T94" s="69"/>
      <c r="U94" s="69"/>
      <c r="V94" s="70"/>
    </row>
    <row r="95" spans="1:22" x14ac:dyDescent="0.25">
      <c r="E95" s="69"/>
      <c r="L95" s="129"/>
      <c r="M95" s="129"/>
      <c r="S95" s="69"/>
      <c r="T95" s="69"/>
      <c r="U95" s="69"/>
      <c r="V95" s="70"/>
    </row>
    <row r="96" spans="1:22" x14ac:dyDescent="0.25">
      <c r="E96" s="69"/>
      <c r="L96" s="129"/>
      <c r="M96" s="129"/>
      <c r="S96" s="69"/>
      <c r="T96" s="69"/>
      <c r="U96" s="69"/>
      <c r="V96" s="70"/>
    </row>
    <row r="97" spans="5:25" x14ac:dyDescent="0.25">
      <c r="E97" s="69"/>
      <c r="L97" s="129"/>
      <c r="M97" s="129"/>
      <c r="S97" s="69"/>
      <c r="T97" s="69"/>
      <c r="U97" s="69"/>
      <c r="V97" s="70"/>
    </row>
    <row r="98" spans="5:25" ht="13" x14ac:dyDescent="0.3">
      <c r="E98" s="69"/>
      <c r="H98" s="16"/>
      <c r="L98" s="129"/>
      <c r="M98" s="129"/>
      <c r="R98" s="139"/>
      <c r="S98" s="149"/>
      <c r="T98" s="149"/>
      <c r="U98" s="69"/>
      <c r="V98" s="70"/>
    </row>
    <row r="99" spans="5:25" x14ac:dyDescent="0.25">
      <c r="E99" s="69"/>
      <c r="H99" s="16"/>
      <c r="L99" s="129"/>
      <c r="M99" s="129"/>
      <c r="R99" s="16"/>
      <c r="S99" s="69"/>
      <c r="T99" s="69"/>
      <c r="U99" s="69"/>
      <c r="V99" s="70"/>
    </row>
    <row r="100" spans="5:25" ht="13" x14ac:dyDescent="0.3">
      <c r="E100" s="69"/>
      <c r="H100" s="16"/>
      <c r="L100" s="129"/>
      <c r="M100" s="129"/>
      <c r="R100" s="16"/>
      <c r="V100" s="139"/>
      <c r="W100" s="139"/>
      <c r="X100" s="139"/>
    </row>
    <row r="101" spans="5:25" x14ac:dyDescent="0.25">
      <c r="E101" s="69"/>
      <c r="H101" s="16"/>
      <c r="R101" s="16"/>
    </row>
    <row r="102" spans="5:25" x14ac:dyDescent="0.25">
      <c r="E102" s="69"/>
      <c r="H102" s="16"/>
      <c r="R102" s="16"/>
      <c r="S102" s="5" t="s">
        <v>189</v>
      </c>
      <c r="T102" s="5"/>
      <c r="U102" s="5"/>
      <c r="V102" s="152"/>
    </row>
    <row r="103" spans="5:25" x14ac:dyDescent="0.25">
      <c r="E103" s="69"/>
      <c r="R103" s="16"/>
      <c r="V103" s="16"/>
    </row>
    <row r="104" spans="5:25" ht="13" x14ac:dyDescent="0.3">
      <c r="E104" s="69"/>
      <c r="R104" s="16"/>
      <c r="S104" s="141"/>
      <c r="T104" s="141" t="s">
        <v>231</v>
      </c>
      <c r="U104" s="141" t="s">
        <v>232</v>
      </c>
      <c r="V104" s="16"/>
    </row>
    <row r="105" spans="5:25" x14ac:dyDescent="0.25">
      <c r="E105" s="69"/>
      <c r="R105" s="16"/>
      <c r="S105" s="16" t="s">
        <v>213</v>
      </c>
      <c r="T105">
        <v>150.5563157894737</v>
      </c>
      <c r="U105">
        <v>150.50105263157894</v>
      </c>
      <c r="V105" s="16"/>
    </row>
    <row r="106" spans="5:25" x14ac:dyDescent="0.25">
      <c r="E106" s="69"/>
      <c r="R106" s="16"/>
      <c r="S106" s="16" t="s">
        <v>215</v>
      </c>
      <c r="T106">
        <v>574.39146900584137</v>
      </c>
      <c r="U106">
        <v>575.00529883041031</v>
      </c>
      <c r="V106" s="16"/>
    </row>
    <row r="107" spans="5:25" ht="13" x14ac:dyDescent="0.3">
      <c r="E107" s="69"/>
      <c r="G107" s="139"/>
      <c r="H107" s="139"/>
      <c r="I107" s="139"/>
      <c r="R107" s="16"/>
      <c r="S107" s="16" t="s">
        <v>216</v>
      </c>
      <c r="T107">
        <v>19</v>
      </c>
      <c r="U107">
        <v>19</v>
      </c>
      <c r="V107" s="16"/>
    </row>
    <row r="108" spans="5:25" x14ac:dyDescent="0.25">
      <c r="E108" s="69"/>
      <c r="R108" s="16"/>
      <c r="S108" s="16" t="s">
        <v>249</v>
      </c>
      <c r="T108">
        <v>0.99999293719428928</v>
      </c>
      <c r="V108" s="16"/>
    </row>
    <row r="109" spans="5:25" x14ac:dyDescent="0.25">
      <c r="E109" s="69"/>
      <c r="R109" s="16"/>
      <c r="S109" s="16" t="s">
        <v>217</v>
      </c>
      <c r="T109">
        <v>0</v>
      </c>
      <c r="V109" s="16"/>
    </row>
    <row r="110" spans="5:25" x14ac:dyDescent="0.25">
      <c r="E110" s="69"/>
      <c r="S110" s="16" t="s">
        <v>219</v>
      </c>
      <c r="T110">
        <v>18</v>
      </c>
      <c r="V110" s="396" t="s">
        <v>250</v>
      </c>
      <c r="W110" s="396"/>
      <c r="X110" s="396"/>
      <c r="Y110" s="396"/>
    </row>
    <row r="111" spans="5:25" x14ac:dyDescent="0.25">
      <c r="E111" s="69"/>
      <c r="S111" s="16" t="s">
        <v>251</v>
      </c>
      <c r="T111" s="115">
        <v>2.6469653654882683</v>
      </c>
      <c r="V111" s="396"/>
      <c r="W111" s="396"/>
      <c r="X111" s="396"/>
      <c r="Y111" s="396"/>
    </row>
    <row r="112" spans="5:25" x14ac:dyDescent="0.25">
      <c r="E112" s="69"/>
      <c r="S112" s="16" t="s">
        <v>252</v>
      </c>
      <c r="T112">
        <v>8.1968324220075481E-3</v>
      </c>
      <c r="V112" s="396"/>
      <c r="W112" s="396"/>
      <c r="X112" s="396"/>
      <c r="Y112" s="396"/>
    </row>
    <row r="113" spans="5:21" x14ac:dyDescent="0.25">
      <c r="E113" s="69"/>
      <c r="S113" s="16" t="s">
        <v>253</v>
      </c>
      <c r="T113" s="115">
        <v>1.7340635923093939</v>
      </c>
    </row>
    <row r="114" spans="5:21" x14ac:dyDescent="0.25">
      <c r="E114" s="69"/>
      <c r="S114" s="16" t="s">
        <v>254</v>
      </c>
      <c r="T114">
        <v>1.6393664844015096E-2</v>
      </c>
    </row>
    <row r="115" spans="5:21" x14ac:dyDescent="0.25">
      <c r="E115" s="69"/>
      <c r="S115" s="153" t="s">
        <v>255</v>
      </c>
      <c r="T115" s="119">
        <v>2.1009220368611805</v>
      </c>
      <c r="U115" s="119"/>
    </row>
    <row r="116" spans="5:21" x14ac:dyDescent="0.25">
      <c r="E116" s="69"/>
    </row>
    <row r="117" spans="5:21" x14ac:dyDescent="0.25">
      <c r="E117" s="69"/>
    </row>
    <row r="119" spans="5:21" ht="12.9" customHeight="1" x14ac:dyDescent="0.25">
      <c r="R119" s="387" t="s">
        <v>256</v>
      </c>
      <c r="S119" s="387"/>
      <c r="T119" s="387"/>
      <c r="U119" s="387"/>
    </row>
    <row r="120" spans="5:21" x14ac:dyDescent="0.25">
      <c r="R120" s="387"/>
      <c r="S120" s="387"/>
      <c r="T120" s="387"/>
      <c r="U120" s="387"/>
    </row>
    <row r="121" spans="5:21" x14ac:dyDescent="0.25">
      <c r="R121" s="387"/>
      <c r="S121" s="387"/>
      <c r="T121" s="387"/>
      <c r="U121" s="387"/>
    </row>
    <row r="122" spans="5:21" ht="18" customHeight="1" x14ac:dyDescent="0.25">
      <c r="R122" s="387"/>
      <c r="S122" s="387"/>
      <c r="T122" s="387"/>
      <c r="U122" s="387"/>
    </row>
    <row r="123" spans="5:21" x14ac:dyDescent="0.25">
      <c r="R123" s="387"/>
      <c r="S123" s="387"/>
      <c r="T123" s="387"/>
      <c r="U123" s="387"/>
    </row>
    <row r="124" spans="5:21" x14ac:dyDescent="0.25">
      <c r="R124" s="387"/>
      <c r="S124" s="387"/>
      <c r="T124" s="387"/>
      <c r="U124" s="387"/>
    </row>
    <row r="125" spans="5:21" x14ac:dyDescent="0.25">
      <c r="R125" s="387"/>
      <c r="S125" s="387"/>
      <c r="T125" s="387"/>
      <c r="U125" s="387"/>
    </row>
    <row r="126" spans="5:21" x14ac:dyDescent="0.25">
      <c r="R126" s="387"/>
      <c r="S126" s="387"/>
      <c r="T126" s="387"/>
      <c r="U126" s="387"/>
    </row>
    <row r="127" spans="5:21" x14ac:dyDescent="0.25">
      <c r="R127" s="387"/>
      <c r="S127" s="387"/>
      <c r="T127" s="387"/>
      <c r="U127" s="387"/>
    </row>
    <row r="128" spans="5:21" x14ac:dyDescent="0.25">
      <c r="R128" s="387"/>
      <c r="S128" s="387"/>
      <c r="T128" s="387"/>
      <c r="U128" s="387"/>
    </row>
    <row r="130" spans="1:63" x14ac:dyDescent="0.25">
      <c r="A130" s="154"/>
      <c r="B130" s="154"/>
      <c r="C130" s="154"/>
      <c r="D130" s="154"/>
      <c r="E130" s="154"/>
      <c r="F130" s="154"/>
      <c r="G130" s="154"/>
      <c r="H130" s="154"/>
      <c r="I130" s="154"/>
      <c r="J130" s="154"/>
      <c r="K130" s="154"/>
      <c r="L130" s="154"/>
      <c r="M130" s="154"/>
      <c r="N130" s="154"/>
      <c r="O130" s="154"/>
      <c r="P130" s="154"/>
      <c r="Q130" s="154"/>
      <c r="R130" s="154"/>
      <c r="S130" s="154"/>
      <c r="T130" s="154"/>
      <c r="U130" s="154"/>
      <c r="V130" s="154"/>
      <c r="W130" s="154"/>
      <c r="X130" s="154"/>
      <c r="Y130" s="154"/>
      <c r="Z130" s="154"/>
      <c r="AA130" s="154"/>
      <c r="AB130" s="154"/>
      <c r="AC130" s="154"/>
      <c r="AD130" s="154"/>
      <c r="AE130" s="154"/>
      <c r="AF130" s="154"/>
      <c r="AG130" s="154"/>
      <c r="AH130" s="154"/>
      <c r="AI130" s="154"/>
      <c r="AJ130" s="154"/>
      <c r="AK130" s="154"/>
      <c r="AL130" s="154"/>
      <c r="AM130" s="154"/>
      <c r="AN130" s="154"/>
      <c r="AO130" s="154"/>
      <c r="AP130" s="154"/>
      <c r="AQ130" s="154"/>
      <c r="AR130" s="154"/>
      <c r="AS130" s="154"/>
      <c r="AT130" s="154"/>
      <c r="AU130" s="154"/>
      <c r="AV130" s="154"/>
      <c r="AW130" s="154"/>
      <c r="AX130" s="154"/>
      <c r="AY130" s="154"/>
      <c r="AZ130" s="154"/>
      <c r="BA130" s="154"/>
      <c r="BB130" s="154"/>
      <c r="BC130" s="154"/>
      <c r="BD130" s="154"/>
      <c r="BE130" s="154"/>
      <c r="BF130" s="154"/>
      <c r="BG130" s="154"/>
      <c r="BH130" s="154"/>
      <c r="BI130" s="154"/>
      <c r="BJ130" s="154"/>
      <c r="BK130" s="154"/>
    </row>
    <row r="133" spans="1:63" ht="18" x14ac:dyDescent="0.25">
      <c r="A133" s="397" t="s">
        <v>184</v>
      </c>
      <c r="B133" s="397"/>
      <c r="C133" s="397"/>
      <c r="D133" s="397"/>
      <c r="E133" s="397"/>
      <c r="F133" s="397"/>
      <c r="G133" s="397"/>
      <c r="H133" s="397"/>
      <c r="I133" s="155"/>
    </row>
    <row r="134" spans="1:63" ht="13" x14ac:dyDescent="0.25">
      <c r="A134" s="92"/>
      <c r="B134" s="92"/>
      <c r="C134" s="92"/>
      <c r="D134" s="92"/>
      <c r="E134" s="155"/>
      <c r="F134" s="155"/>
      <c r="G134" s="155"/>
      <c r="H134" s="155"/>
      <c r="I134" s="155"/>
    </row>
    <row r="135" spans="1:63" ht="13" x14ac:dyDescent="0.3">
      <c r="A135" s="92"/>
      <c r="B135" s="92"/>
      <c r="C135" s="92"/>
      <c r="D135" s="92"/>
      <c r="E135" s="155"/>
      <c r="F135" s="155"/>
      <c r="G135" s="155"/>
      <c r="H135" s="155"/>
      <c r="I135" s="155"/>
      <c r="K135" s="23" t="s">
        <v>257</v>
      </c>
    </row>
    <row r="136" spans="1:63" x14ac:dyDescent="0.25">
      <c r="E136" s="32"/>
      <c r="F136" s="32"/>
      <c r="G136" s="32"/>
      <c r="H136" s="32"/>
      <c r="I136" s="32"/>
      <c r="K136" s="129" t="s">
        <v>0</v>
      </c>
      <c r="L136" s="129"/>
    </row>
    <row r="137" spans="1:63" ht="12.9" customHeight="1" x14ac:dyDescent="0.25">
      <c r="A137" s="398" t="s">
        <v>258</v>
      </c>
      <c r="B137" s="398"/>
      <c r="C137" s="398"/>
      <c r="E137" s="32"/>
      <c r="F137" s="32"/>
      <c r="G137" s="32"/>
      <c r="H137" s="32"/>
      <c r="I137" s="32"/>
      <c r="K137" s="156" t="s">
        <v>131</v>
      </c>
      <c r="L137" s="156"/>
      <c r="Q137" s="115">
        <f>STDEV(R138:R164)</f>
        <v>7.3485302908743186</v>
      </c>
      <c r="R137" s="146" t="s">
        <v>99</v>
      </c>
    </row>
    <row r="138" spans="1:63" x14ac:dyDescent="0.25">
      <c r="A138" s="398"/>
      <c r="B138" s="398"/>
      <c r="C138" s="398"/>
      <c r="E138" s="32"/>
      <c r="K138" s="115" t="s">
        <v>122</v>
      </c>
      <c r="L138" s="115"/>
      <c r="R138" s="129">
        <v>238.3</v>
      </c>
    </row>
    <row r="139" spans="1:63" ht="13" x14ac:dyDescent="0.3">
      <c r="A139" s="398"/>
      <c r="B139" s="398"/>
      <c r="C139" s="398"/>
      <c r="D139" s="157" t="s">
        <v>99</v>
      </c>
      <c r="K139" s="158" t="s">
        <v>138</v>
      </c>
      <c r="L139" s="19"/>
      <c r="R139" s="129">
        <v>239.1</v>
      </c>
    </row>
    <row r="140" spans="1:63" x14ac:dyDescent="0.25">
      <c r="A140" s="398"/>
      <c r="B140" s="398"/>
      <c r="C140" s="398"/>
      <c r="D140" s="159">
        <v>62</v>
      </c>
      <c r="F140" s="34" t="s">
        <v>259</v>
      </c>
      <c r="G140" s="34"/>
      <c r="H140" s="34"/>
      <c r="I140" s="34"/>
      <c r="R140" s="129">
        <v>239.7</v>
      </c>
    </row>
    <row r="141" spans="1:63" ht="13" x14ac:dyDescent="0.3">
      <c r="A141" s="398"/>
      <c r="B141" s="398"/>
      <c r="C141" s="398"/>
      <c r="D141" s="159">
        <v>62.5</v>
      </c>
      <c r="G141" s="16" t="s">
        <v>260</v>
      </c>
      <c r="H141" s="102">
        <v>204.6</v>
      </c>
      <c r="R141" s="129">
        <v>257.39999999999998</v>
      </c>
    </row>
    <row r="142" spans="1:63" x14ac:dyDescent="0.25">
      <c r="A142" s="398"/>
      <c r="B142" s="398"/>
      <c r="C142" s="398"/>
      <c r="D142" s="159">
        <v>59.2</v>
      </c>
      <c r="G142" s="16" t="s">
        <v>147</v>
      </c>
      <c r="H142" s="25">
        <f>COUNT(D140:D165)</f>
        <v>21</v>
      </c>
      <c r="R142" s="129">
        <v>239.5</v>
      </c>
    </row>
    <row r="143" spans="1:63" x14ac:dyDescent="0.25">
      <c r="A143" s="398"/>
      <c r="B143" s="398"/>
      <c r="C143" s="398"/>
      <c r="D143" s="159">
        <v>48.4</v>
      </c>
      <c r="G143" s="16" t="s">
        <v>261</v>
      </c>
      <c r="H143" s="25">
        <f>STDEV(D140:D165)</f>
        <v>6.3216672002309586</v>
      </c>
      <c r="R143" s="129">
        <v>246.3</v>
      </c>
    </row>
    <row r="144" spans="1:63" ht="13" x14ac:dyDescent="0.3">
      <c r="A144" s="398"/>
      <c r="B144" s="398"/>
      <c r="C144" s="398"/>
      <c r="D144" s="159">
        <v>61.4</v>
      </c>
      <c r="G144" s="16" t="s">
        <v>262</v>
      </c>
      <c r="H144" s="103">
        <f>AVERAGE(D140:D165)</f>
        <v>55.938095238095244</v>
      </c>
      <c r="R144" s="129">
        <v>250.1</v>
      </c>
    </row>
    <row r="145" spans="1:18" ht="13" x14ac:dyDescent="0.3">
      <c r="A145" s="398"/>
      <c r="B145" s="398"/>
      <c r="C145" s="398"/>
      <c r="D145" s="159">
        <v>63.9</v>
      </c>
      <c r="G145" s="105" t="s">
        <v>263</v>
      </c>
      <c r="H145" s="106">
        <f>STDEV(D140:D165)/SQRT(H142)</f>
        <v>1.3795008792084726</v>
      </c>
      <c r="I145" s="34" t="s">
        <v>264</v>
      </c>
      <c r="J145" s="34"/>
      <c r="R145" s="129">
        <v>255.3</v>
      </c>
    </row>
    <row r="146" spans="1:18" ht="13" x14ac:dyDescent="0.3">
      <c r="A146" s="398"/>
      <c r="B146" s="398"/>
      <c r="C146" s="398"/>
      <c r="D146" s="159">
        <v>60.8</v>
      </c>
      <c r="G146" s="16" t="s">
        <v>265</v>
      </c>
      <c r="H146" s="108">
        <f>(H144-H141)/H145</f>
        <v>-107.76499457340229</v>
      </c>
      <c r="I146" t="s">
        <v>266</v>
      </c>
      <c r="R146" s="129">
        <v>243.7</v>
      </c>
    </row>
    <row r="147" spans="1:18" ht="13" x14ac:dyDescent="0.3">
      <c r="A147" s="398"/>
      <c r="B147" s="398"/>
      <c r="C147" s="398"/>
      <c r="D147" s="159">
        <v>51.1</v>
      </c>
      <c r="G147" s="16" t="s">
        <v>181</v>
      </c>
      <c r="H147" s="108">
        <f>IF(TDIST(ABS(H146),H142-1,1)&lt;0.5,TDIST(ABS(H146),H142-1,1),1-TDIST(ABS(H146),H142-1,1))</f>
        <v>1.988754569644343E-29</v>
      </c>
      <c r="I147" s="160" t="s">
        <v>267</v>
      </c>
      <c r="J147" s="156"/>
      <c r="R147" s="129">
        <v>244.8</v>
      </c>
    </row>
    <row r="148" spans="1:18" ht="13" x14ac:dyDescent="0.3">
      <c r="A148" s="399" t="s">
        <v>268</v>
      </c>
      <c r="B148" s="399"/>
      <c r="C148" s="399"/>
      <c r="D148" s="159">
        <v>55.6</v>
      </c>
      <c r="G148" s="16" t="s">
        <v>181</v>
      </c>
      <c r="H148" s="108">
        <f>H147*2</f>
        <v>3.9775091392886861E-29</v>
      </c>
      <c r="I148" s="160" t="s">
        <v>269</v>
      </c>
      <c r="J148" s="156"/>
      <c r="R148" s="129">
        <v>246.4</v>
      </c>
    </row>
    <row r="149" spans="1:18" ht="13" x14ac:dyDescent="0.3">
      <c r="A149" s="161"/>
      <c r="B149" s="161"/>
      <c r="C149" s="161"/>
      <c r="D149" s="159">
        <v>59.5</v>
      </c>
      <c r="G149" s="16"/>
      <c r="H149" s="103"/>
      <c r="R149" s="129">
        <v>255.9</v>
      </c>
    </row>
    <row r="150" spans="1:18" x14ac:dyDescent="0.25">
      <c r="A150" s="161"/>
      <c r="B150" s="161"/>
      <c r="C150" s="161"/>
      <c r="D150" s="159">
        <v>64.2</v>
      </c>
      <c r="G150" s="25"/>
      <c r="H150" s="25"/>
      <c r="R150" s="129">
        <v>257.89999999999998</v>
      </c>
    </row>
    <row r="151" spans="1:18" x14ac:dyDescent="0.25">
      <c r="A151" s="161"/>
      <c r="B151" s="161"/>
      <c r="C151" s="161"/>
      <c r="D151" s="159">
        <v>55.1</v>
      </c>
      <c r="F151" s="400" t="s">
        <v>270</v>
      </c>
      <c r="G151" s="400"/>
      <c r="H151" s="400"/>
      <c r="I151" s="400"/>
      <c r="J151" s="400"/>
      <c r="R151" s="129"/>
    </row>
    <row r="152" spans="1:18" ht="13" x14ac:dyDescent="0.3">
      <c r="A152" s="161"/>
      <c r="B152" s="161"/>
      <c r="C152" s="161"/>
      <c r="D152" s="159">
        <v>46</v>
      </c>
      <c r="G152" s="16" t="s">
        <v>142</v>
      </c>
      <c r="H152" s="114">
        <v>0.93</v>
      </c>
      <c r="R152" s="129"/>
    </row>
    <row r="153" spans="1:18" x14ac:dyDescent="0.25">
      <c r="A153" s="161"/>
      <c r="B153" s="161"/>
      <c r="C153" s="161"/>
      <c r="D153" s="159">
        <v>46.5</v>
      </c>
      <c r="G153" s="16" t="s">
        <v>147</v>
      </c>
      <c r="H153" s="25">
        <f>COUNT(D140:D165)</f>
        <v>21</v>
      </c>
      <c r="R153" s="129"/>
    </row>
    <row r="154" spans="1:18" x14ac:dyDescent="0.25">
      <c r="A154" s="161"/>
      <c r="B154" s="161"/>
      <c r="C154" s="161"/>
      <c r="D154" s="159">
        <v>54</v>
      </c>
      <c r="G154" s="16" t="s">
        <v>261</v>
      </c>
      <c r="H154" s="25">
        <f>STDEV(D140:D165)</f>
        <v>6.3216672002309586</v>
      </c>
      <c r="R154" s="129"/>
    </row>
    <row r="155" spans="1:18" ht="13" x14ac:dyDescent="0.3">
      <c r="A155" s="161"/>
      <c r="B155" s="161"/>
      <c r="C155" s="161"/>
      <c r="D155" s="159">
        <v>57.7</v>
      </c>
      <c r="G155" s="16" t="s">
        <v>262</v>
      </c>
      <c r="H155" s="103">
        <f>AVERAGE(D140:D165)</f>
        <v>55.938095238095244</v>
      </c>
      <c r="R155" s="129"/>
    </row>
    <row r="156" spans="1:18" ht="13" x14ac:dyDescent="0.3">
      <c r="A156" s="161"/>
      <c r="B156" s="161"/>
      <c r="C156" s="161"/>
      <c r="D156" s="159">
        <v>46.7</v>
      </c>
      <c r="G156" s="105" t="s">
        <v>271</v>
      </c>
      <c r="H156" s="106">
        <f>STDEV(D140:D165)/SQRT(H153)</f>
        <v>1.3795008792084726</v>
      </c>
      <c r="I156" s="34" t="s">
        <v>264</v>
      </c>
      <c r="R156" s="129"/>
    </row>
    <row r="157" spans="1:18" ht="13" x14ac:dyDescent="0.3">
      <c r="A157" s="161"/>
      <c r="B157" s="161"/>
      <c r="C157" s="161"/>
      <c r="D157" s="159">
        <v>63.5</v>
      </c>
      <c r="G157" s="16" t="s">
        <v>272</v>
      </c>
      <c r="H157" s="108">
        <f>H155-TINV(1-H152,H153-1)*H156</f>
        <v>53.297327126731339</v>
      </c>
      <c r="R157" s="129"/>
    </row>
    <row r="158" spans="1:18" ht="13" x14ac:dyDescent="0.3">
      <c r="D158" s="159">
        <v>51.1</v>
      </c>
      <c r="G158" s="16" t="s">
        <v>273</v>
      </c>
      <c r="H158" s="108">
        <f>H155+TINV(1-H152,H153-1)*H156</f>
        <v>58.578863349459148</v>
      </c>
      <c r="R158" s="129"/>
    </row>
    <row r="159" spans="1:18" ht="13" x14ac:dyDescent="0.3">
      <c r="D159" s="159">
        <v>47.8</v>
      </c>
      <c r="G159" s="16" t="s">
        <v>274</v>
      </c>
      <c r="H159" s="108">
        <f>H155-TINV((1-H152)*2,H153-1)*H156</f>
        <v>53.818006398875291</v>
      </c>
      <c r="R159" s="129"/>
    </row>
    <row r="160" spans="1:18" ht="13" x14ac:dyDescent="0.3">
      <c r="D160" s="159">
        <v>57.7</v>
      </c>
      <c r="G160" s="16" t="s">
        <v>275</v>
      </c>
      <c r="H160" s="108">
        <f>H155+TINV((1-H152)*2,H153-1)*H156</f>
        <v>58.058184077315197</v>
      </c>
      <c r="R160" s="129"/>
    </row>
    <row r="161" spans="4:18" x14ac:dyDescent="0.25">
      <c r="D161" s="159"/>
      <c r="R161" s="129"/>
    </row>
    <row r="162" spans="4:18" x14ac:dyDescent="0.25">
      <c r="D162" s="159"/>
      <c r="R162" s="129"/>
    </row>
    <row r="163" spans="4:18" x14ac:dyDescent="0.25">
      <c r="D163" s="159"/>
      <c r="R163" s="129"/>
    </row>
    <row r="164" spans="4:18" x14ac:dyDescent="0.25">
      <c r="D164" s="162"/>
      <c r="R164" s="129"/>
    </row>
    <row r="165" spans="4:18" x14ac:dyDescent="0.25">
      <c r="D165" s="162"/>
    </row>
  </sheetData>
  <mergeCells count="25">
    <mergeCell ref="A148:C148"/>
    <mergeCell ref="F151:J151"/>
    <mergeCell ref="G85:J94"/>
    <mergeCell ref="V110:Y112"/>
    <mergeCell ref="R119:U128"/>
    <mergeCell ref="A133:H133"/>
    <mergeCell ref="A137:C147"/>
    <mergeCell ref="B23:G28"/>
    <mergeCell ref="AJ33:AN33"/>
    <mergeCell ref="R34:V34"/>
    <mergeCell ref="O35:P49"/>
    <mergeCell ref="A71:C84"/>
    <mergeCell ref="AJ4:AK4"/>
    <mergeCell ref="AM4:AN4"/>
    <mergeCell ref="AO5:AQ12"/>
    <mergeCell ref="K12:N17"/>
    <mergeCell ref="AO13:AQ13"/>
    <mergeCell ref="Q17:S26"/>
    <mergeCell ref="AJ18:AN18"/>
    <mergeCell ref="K19:N28"/>
    <mergeCell ref="B1:H1"/>
    <mergeCell ref="Q1:V1"/>
    <mergeCell ref="AB1:AI1"/>
    <mergeCell ref="J2:O2"/>
    <mergeCell ref="AJ3:AN3"/>
  </mergeCells>
  <pageMargins left="0.75" right="0.75" top="1" bottom="1" header="0.51180555555555562" footer="0.51180555555555562"/>
  <pageSetup firstPageNumber="0" orientation="portrait" horizontalDpi="300" verticalDpi="300"/>
  <headerFooter alignWithMargins="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S147"/>
  <sheetViews>
    <sheetView showGridLines="0" zoomScale="85" zoomScaleNormal="85" workbookViewId="0">
      <selection activeCell="B2" sqref="B2"/>
    </sheetView>
  </sheetViews>
  <sheetFormatPr defaultRowHeight="12.5" x14ac:dyDescent="0.25"/>
  <cols>
    <col min="1" max="1" width="43.26953125" customWidth="1"/>
    <col min="2" max="2" width="12.26953125" customWidth="1"/>
    <col min="3" max="3" width="13.81640625" customWidth="1"/>
    <col min="4" max="4" width="10.54296875" customWidth="1"/>
    <col min="6" max="6" width="25.08984375" customWidth="1"/>
    <col min="8" max="8" width="9.08984375" customWidth="1"/>
    <col min="27" max="27" width="24.26953125" customWidth="1"/>
  </cols>
  <sheetData>
    <row r="1" spans="1:45" x14ac:dyDescent="0.25">
      <c r="A1" s="1" t="s">
        <v>0</v>
      </c>
    </row>
    <row r="2" spans="1:45" ht="13" x14ac:dyDescent="0.3">
      <c r="A2" s="2" t="s">
        <v>2</v>
      </c>
    </row>
    <row r="4" spans="1:45" ht="18" x14ac:dyDescent="0.4">
      <c r="A4" s="163" t="s">
        <v>276</v>
      </c>
      <c r="G4" s="381" t="s">
        <v>277</v>
      </c>
      <c r="H4" s="381"/>
      <c r="I4" s="381"/>
      <c r="J4" s="381"/>
      <c r="K4" s="381"/>
      <c r="AB4" s="381" t="s">
        <v>278</v>
      </c>
      <c r="AC4" s="381"/>
      <c r="AD4" s="381"/>
      <c r="AE4" s="381"/>
    </row>
    <row r="5" spans="1:45" ht="18" x14ac:dyDescent="0.25">
      <c r="A5" s="7" t="s">
        <v>279</v>
      </c>
      <c r="B5" s="164">
        <v>0.98</v>
      </c>
      <c r="H5" s="165" t="s">
        <v>280</v>
      </c>
      <c r="I5" s="166" t="s">
        <v>281</v>
      </c>
      <c r="J5" s="166" t="s">
        <v>282</v>
      </c>
      <c r="K5" s="166" t="s">
        <v>283</v>
      </c>
      <c r="L5" s="166" t="s">
        <v>284</v>
      </c>
      <c r="M5" s="166"/>
      <c r="N5" s="167" t="s">
        <v>285</v>
      </c>
      <c r="O5" s="168" t="s">
        <v>286</v>
      </c>
      <c r="Q5" s="169" t="s">
        <v>287</v>
      </c>
      <c r="R5" s="170" t="s">
        <v>288</v>
      </c>
      <c r="S5" s="170" t="s">
        <v>289</v>
      </c>
      <c r="T5" s="170" t="s">
        <v>290</v>
      </c>
      <c r="U5" s="170" t="s">
        <v>291</v>
      </c>
      <c r="V5" s="170" t="s">
        <v>292</v>
      </c>
      <c r="W5" s="170" t="s">
        <v>293</v>
      </c>
      <c r="X5" s="170" t="s">
        <v>294</v>
      </c>
      <c r="AC5" s="165" t="s">
        <v>280</v>
      </c>
      <c r="AD5" s="166" t="s">
        <v>281</v>
      </c>
      <c r="AE5" s="166" t="s">
        <v>282</v>
      </c>
      <c r="AF5" s="166"/>
      <c r="AG5" s="166"/>
      <c r="AH5" s="166"/>
      <c r="AI5" s="167" t="s">
        <v>285</v>
      </c>
      <c r="AJ5" s="171" t="s">
        <v>295</v>
      </c>
      <c r="AL5" s="169" t="s">
        <v>287</v>
      </c>
      <c r="AM5" s="170" t="s">
        <v>288</v>
      </c>
      <c r="AN5" s="170" t="s">
        <v>289</v>
      </c>
      <c r="AO5" s="170" t="s">
        <v>290</v>
      </c>
      <c r="AP5" s="170" t="s">
        <v>291</v>
      </c>
      <c r="AQ5" s="170" t="s">
        <v>292</v>
      </c>
      <c r="AR5" s="170" t="s">
        <v>293</v>
      </c>
      <c r="AS5" s="170" t="s">
        <v>294</v>
      </c>
    </row>
    <row r="6" spans="1:45" ht="15.5" x14ac:dyDescent="0.25">
      <c r="A6" s="7" t="s">
        <v>296</v>
      </c>
      <c r="B6" s="8">
        <v>73</v>
      </c>
      <c r="C6" s="5"/>
      <c r="D6" s="5"/>
      <c r="F6" s="7" t="s">
        <v>297</v>
      </c>
      <c r="G6" s="172">
        <f>AVERAGE(N6:N55)</f>
        <v>102.92497294444445</v>
      </c>
      <c r="H6" s="173">
        <v>111.9666</v>
      </c>
      <c r="I6" s="69">
        <v>96.787970000000001</v>
      </c>
      <c r="J6" s="69">
        <v>98.716740000000001</v>
      </c>
      <c r="K6" s="69">
        <v>111.5257</v>
      </c>
      <c r="L6" s="69">
        <v>94.343029999999999</v>
      </c>
      <c r="M6" s="69"/>
      <c r="N6" s="70">
        <f>AVERAGE(H6:M6)</f>
        <v>102.66800800000001</v>
      </c>
      <c r="O6" s="174">
        <f>MAX(H6:M6)-MIN(H6:M6)</f>
        <v>17.623570000000001</v>
      </c>
      <c r="Q6" s="175">
        <v>2</v>
      </c>
      <c r="R6" s="175">
        <v>1.88</v>
      </c>
      <c r="S6" s="175">
        <v>2.6589999999999998</v>
      </c>
      <c r="T6" s="175">
        <v>0</v>
      </c>
      <c r="U6" s="175">
        <v>3.2669999999999999</v>
      </c>
      <c r="V6" s="175">
        <v>1.1279999999999999</v>
      </c>
      <c r="W6" s="175">
        <v>0</v>
      </c>
      <c r="X6" s="175">
        <v>3.2669999999999999</v>
      </c>
      <c r="AA6" s="7" t="s">
        <v>297</v>
      </c>
      <c r="AB6" s="43">
        <f>AVERAGE(AI6:AI63)</f>
        <v>127.21980000000001</v>
      </c>
      <c r="AC6" s="176">
        <v>127.9252</v>
      </c>
      <c r="AD6" s="8">
        <v>129.8777</v>
      </c>
      <c r="AE6" s="69">
        <v>127.14830000000001</v>
      </c>
      <c r="AF6" s="69"/>
      <c r="AG6" s="69"/>
      <c r="AH6" s="69"/>
      <c r="AI6" s="70">
        <f>AVERAGE(AC6:AH6)</f>
        <v>128.31706666666668</v>
      </c>
      <c r="AJ6" s="177">
        <f>STDEV(AC6:AH6)</f>
        <v>1.4062630277915051</v>
      </c>
      <c r="AL6" s="175">
        <v>2</v>
      </c>
      <c r="AM6" s="175">
        <v>1.88</v>
      </c>
      <c r="AN6" s="175">
        <v>2.6589999999999998</v>
      </c>
      <c r="AO6" s="175">
        <v>0</v>
      </c>
      <c r="AP6" s="175">
        <v>3.2669999999999999</v>
      </c>
      <c r="AQ6" s="175">
        <v>1.1279999999999999</v>
      </c>
      <c r="AR6" s="175">
        <v>0</v>
      </c>
      <c r="AS6" s="175">
        <v>3.2669999999999999</v>
      </c>
    </row>
    <row r="7" spans="1:45" ht="15.5" x14ac:dyDescent="0.3">
      <c r="A7" s="10" t="s">
        <v>298</v>
      </c>
      <c r="B7" s="178">
        <f>IF(B5-3*((B5*((1-B5))/B6)^0.5)&lt;0,0,B5-3*((B5*((1-B5))/B6)^0.5))</f>
        <v>0.93084271817762509</v>
      </c>
      <c r="C7" s="179">
        <f>B7</f>
        <v>0.93084271817762509</v>
      </c>
      <c r="F7" s="7" t="s">
        <v>299</v>
      </c>
      <c r="G7" s="172">
        <f>AVERAGE(O6:O55)</f>
        <v>22.406402499999999</v>
      </c>
      <c r="H7" s="173">
        <v>101.3879</v>
      </c>
      <c r="I7" s="69">
        <v>99.800960000000003</v>
      </c>
      <c r="J7" s="69">
        <v>124.0611</v>
      </c>
      <c r="K7" s="69">
        <v>106.1464</v>
      </c>
      <c r="L7" s="69">
        <v>103.4954</v>
      </c>
      <c r="M7" s="69"/>
      <c r="N7" s="70">
        <f t="shared" ref="N7:N35" si="0">AVERAGE(H7:M7)</f>
        <v>106.978352</v>
      </c>
      <c r="O7" s="174">
        <f t="shared" ref="O7:O35" si="1">MAX(H7:M7)-MIN(H7:M7)</f>
        <v>24.260139999999993</v>
      </c>
      <c r="Q7" s="175">
        <v>3</v>
      </c>
      <c r="R7" s="175">
        <v>1.0229999999999999</v>
      </c>
      <c r="S7" s="175">
        <v>1.954</v>
      </c>
      <c r="T7" s="175">
        <v>0</v>
      </c>
      <c r="U7" s="175">
        <v>2.5739999999999998</v>
      </c>
      <c r="V7" s="175">
        <v>1.6930000000000001</v>
      </c>
      <c r="W7" s="175">
        <v>0</v>
      </c>
      <c r="X7" s="175">
        <v>2.5680000000000001</v>
      </c>
      <c r="AA7" s="7" t="s">
        <v>300</v>
      </c>
      <c r="AB7" s="180">
        <f>AVERAGE(AJ6:AJ65)</f>
        <v>1.9489634736935939</v>
      </c>
      <c r="AC7" s="181">
        <v>130.6651</v>
      </c>
      <c r="AD7" s="182">
        <v>127.2175</v>
      </c>
      <c r="AE7" s="69">
        <v>126.843</v>
      </c>
      <c r="AF7" s="69"/>
      <c r="AG7" s="69"/>
      <c r="AH7" s="69"/>
      <c r="AI7" s="183">
        <f>AVERAGE(AC7:AH7)</f>
        <v>128.24186666666668</v>
      </c>
      <c r="AJ7" s="177">
        <f>STDEV(AC7:AH7)</f>
        <v>2.1069189361086762</v>
      </c>
      <c r="AL7" s="175">
        <v>3</v>
      </c>
      <c r="AM7" s="175">
        <v>1.0229999999999999</v>
      </c>
      <c r="AN7" s="175">
        <v>1.954</v>
      </c>
      <c r="AO7" s="175">
        <v>0</v>
      </c>
      <c r="AP7" s="175">
        <v>2.5739999999999998</v>
      </c>
      <c r="AQ7" s="175">
        <v>1.6930000000000001</v>
      </c>
      <c r="AR7" s="175">
        <v>0</v>
      </c>
      <c r="AS7" s="175">
        <v>2.5680000000000001</v>
      </c>
    </row>
    <row r="8" spans="1:45" ht="15.5" x14ac:dyDescent="0.3">
      <c r="A8" s="10" t="s">
        <v>301</v>
      </c>
      <c r="B8" s="178">
        <f>IF(B5+3*((B5*((1-B5))/B6)^0.5)&gt;1,1,B5+3*((B5*((1-B5))/B6)^0.5))</f>
        <v>1</v>
      </c>
      <c r="C8" s="179">
        <f>B8</f>
        <v>1</v>
      </c>
      <c r="F8" s="7" t="s">
        <v>296</v>
      </c>
      <c r="G8" s="184">
        <v>5</v>
      </c>
      <c r="H8" s="173">
        <v>101.6352</v>
      </c>
      <c r="I8" s="69">
        <v>112.15600000000001</v>
      </c>
      <c r="J8" s="69">
        <v>115.4171</v>
      </c>
      <c r="K8" s="69">
        <v>111.8421</v>
      </c>
      <c r="L8" s="69">
        <v>108.4331</v>
      </c>
      <c r="M8" s="69"/>
      <c r="N8" s="70">
        <f t="shared" si="0"/>
        <v>109.89670000000001</v>
      </c>
      <c r="O8" s="174">
        <f t="shared" si="1"/>
        <v>13.781900000000007</v>
      </c>
      <c r="Q8" s="175">
        <v>4</v>
      </c>
      <c r="R8" s="175">
        <v>0.72899999999999998</v>
      </c>
      <c r="S8" s="175">
        <v>1.6279999999999999</v>
      </c>
      <c r="T8" s="175">
        <v>0</v>
      </c>
      <c r="U8" s="175">
        <v>2.282</v>
      </c>
      <c r="V8" s="175">
        <v>2.0590000000000002</v>
      </c>
      <c r="W8" s="175">
        <v>0</v>
      </c>
      <c r="X8" s="175">
        <v>2.266</v>
      </c>
      <c r="AA8" s="7" t="s">
        <v>296</v>
      </c>
      <c r="AB8" s="8">
        <v>3</v>
      </c>
      <c r="AC8" s="176">
        <v>128.5701</v>
      </c>
      <c r="AD8" s="8">
        <v>128.88659999999999</v>
      </c>
      <c r="AE8" s="69">
        <v>128.4503</v>
      </c>
      <c r="AF8" s="69"/>
      <c r="AG8" s="69"/>
      <c r="AH8" s="69"/>
      <c r="AI8" s="70">
        <f t="shared" ref="AI8:AI37" si="2">AVERAGE(AC8:AH8)</f>
        <v>128.63566666666665</v>
      </c>
      <c r="AJ8" s="177">
        <f t="shared" ref="AJ8:AJ37" si="3">STDEV(AC8:AH8)</f>
        <v>0.22541886197328431</v>
      </c>
      <c r="AL8" s="175">
        <v>4</v>
      </c>
      <c r="AM8" s="175">
        <v>0.72899999999999998</v>
      </c>
      <c r="AN8" s="175">
        <v>1.6279999999999999</v>
      </c>
      <c r="AO8" s="175">
        <v>0</v>
      </c>
      <c r="AP8" s="175">
        <v>2.282</v>
      </c>
      <c r="AQ8" s="175">
        <v>2.0590000000000002</v>
      </c>
      <c r="AR8" s="175">
        <v>0</v>
      </c>
      <c r="AS8" s="175">
        <v>2.266</v>
      </c>
    </row>
    <row r="9" spans="1:45" ht="15.5" x14ac:dyDescent="0.25">
      <c r="F9" s="7" t="s">
        <v>302</v>
      </c>
      <c r="G9" s="172">
        <f>VLOOKUP(G8,Q6:X14,2,FALSE)</f>
        <v>0.57699999999999996</v>
      </c>
      <c r="H9" s="173">
        <v>98.91328</v>
      </c>
      <c r="I9" s="69">
        <v>96.170900000000003</v>
      </c>
      <c r="J9" s="69">
        <v>102.9637</v>
      </c>
      <c r="K9" s="69">
        <v>116.3215</v>
      </c>
      <c r="L9" s="69">
        <v>111.9746</v>
      </c>
      <c r="M9" s="69"/>
      <c r="N9" s="70">
        <f t="shared" si="0"/>
        <v>105.26879599999999</v>
      </c>
      <c r="O9" s="174">
        <f t="shared" si="1"/>
        <v>20.150599999999997</v>
      </c>
      <c r="Q9" s="175">
        <v>5</v>
      </c>
      <c r="R9" s="175">
        <v>0.57699999999999996</v>
      </c>
      <c r="S9" s="175">
        <v>1.427</v>
      </c>
      <c r="T9" s="175">
        <v>0</v>
      </c>
      <c r="U9" s="175">
        <v>2.1150000000000002</v>
      </c>
      <c r="V9" s="175">
        <v>2.3260000000000001</v>
      </c>
      <c r="W9" s="175">
        <v>0</v>
      </c>
      <c r="X9" s="175">
        <v>2.089</v>
      </c>
      <c r="AA9" s="7" t="s">
        <v>303</v>
      </c>
      <c r="AB9" s="43">
        <f>VLOOKUP(AB8,AL6:AS14,3,FALSE)</f>
        <v>1.954</v>
      </c>
      <c r="AC9" s="176">
        <v>126.9543</v>
      </c>
      <c r="AD9" s="8">
        <v>125.6219</v>
      </c>
      <c r="AE9" s="69">
        <v>127.80370000000001</v>
      </c>
      <c r="AF9" s="69"/>
      <c r="AG9" s="69"/>
      <c r="AH9" s="69"/>
      <c r="AI9" s="70">
        <f t="shared" si="2"/>
        <v>126.7933</v>
      </c>
      <c r="AJ9" s="177">
        <f t="shared" si="3"/>
        <v>1.0997743223043586</v>
      </c>
      <c r="AL9" s="175">
        <v>5</v>
      </c>
      <c r="AM9" s="175">
        <v>0.57699999999999996</v>
      </c>
      <c r="AN9" s="175">
        <v>1.427</v>
      </c>
      <c r="AO9" s="175">
        <v>0</v>
      </c>
      <c r="AP9" s="175">
        <v>2.1150000000000002</v>
      </c>
      <c r="AQ9" s="175">
        <v>2.3260000000000001</v>
      </c>
      <c r="AR9" s="175">
        <v>0</v>
      </c>
      <c r="AS9" s="175">
        <v>2.089</v>
      </c>
    </row>
    <row r="10" spans="1:45" ht="18" x14ac:dyDescent="0.4">
      <c r="A10" s="163" t="s">
        <v>304</v>
      </c>
      <c r="F10" s="7" t="s">
        <v>305</v>
      </c>
      <c r="G10" s="172">
        <f>VLOOKUP(G8,Q6:X14,4,FALSE)</f>
        <v>0</v>
      </c>
      <c r="H10" s="173">
        <v>91.99812</v>
      </c>
      <c r="I10" s="69">
        <v>109.2495</v>
      </c>
      <c r="J10" s="69">
        <v>102.4234</v>
      </c>
      <c r="K10" s="69">
        <v>126.46980000000001</v>
      </c>
      <c r="L10" s="69">
        <v>109.08629999999999</v>
      </c>
      <c r="M10" s="69"/>
      <c r="N10" s="70">
        <f t="shared" si="0"/>
        <v>107.84542400000001</v>
      </c>
      <c r="O10" s="174">
        <f t="shared" si="1"/>
        <v>34.471680000000006</v>
      </c>
      <c r="Q10" s="175">
        <v>6</v>
      </c>
      <c r="R10" s="175">
        <v>0.48299999999999998</v>
      </c>
      <c r="S10" s="175">
        <v>1.2869999999999999</v>
      </c>
      <c r="T10" s="175">
        <v>0</v>
      </c>
      <c r="U10" s="175">
        <v>2.004</v>
      </c>
      <c r="V10" s="175">
        <v>2.5339999999999998</v>
      </c>
      <c r="W10" s="175">
        <v>0.03</v>
      </c>
      <c r="X10" s="175">
        <v>1.97</v>
      </c>
      <c r="AA10" s="7" t="s">
        <v>306</v>
      </c>
      <c r="AB10" s="43">
        <f>VLOOKUP(AB8,AL6:AS14,7,FALSE)</f>
        <v>0</v>
      </c>
      <c r="AC10" s="176">
        <v>126.75190000000001</v>
      </c>
      <c r="AD10" s="8">
        <v>130.9597</v>
      </c>
      <c r="AE10" s="69">
        <v>121.6932</v>
      </c>
      <c r="AF10" s="69"/>
      <c r="AG10" s="69"/>
      <c r="AH10" s="69"/>
      <c r="AI10" s="70">
        <f t="shared" si="2"/>
        <v>126.46826666666665</v>
      </c>
      <c r="AJ10" s="177">
        <f t="shared" si="3"/>
        <v>4.6397566168208977</v>
      </c>
      <c r="AL10" s="175">
        <v>6</v>
      </c>
      <c r="AM10" s="175">
        <v>0.48299999999999998</v>
      </c>
      <c r="AN10" s="175">
        <v>1.2869999999999999</v>
      </c>
      <c r="AO10" s="175">
        <v>0</v>
      </c>
      <c r="AP10" s="175">
        <v>2.004</v>
      </c>
      <c r="AQ10" s="175">
        <v>2.5339999999999998</v>
      </c>
      <c r="AR10" s="175">
        <v>0.03</v>
      </c>
      <c r="AS10" s="175">
        <v>1.97</v>
      </c>
    </row>
    <row r="11" spans="1:45" ht="15.5" x14ac:dyDescent="0.25">
      <c r="A11" s="7" t="s">
        <v>307</v>
      </c>
      <c r="B11" s="185">
        <v>1.1399999999999999</v>
      </c>
      <c r="F11" s="7" t="s">
        <v>308</v>
      </c>
      <c r="G11" s="172">
        <f>VLOOKUP(G8,Q6:X14,5,FALSE)</f>
        <v>2.1150000000000002</v>
      </c>
      <c r="H11" s="173">
        <v>99.273669999999996</v>
      </c>
      <c r="I11" s="69">
        <v>101.8492</v>
      </c>
      <c r="J11" s="69">
        <v>91.922089999999997</v>
      </c>
      <c r="K11" s="69">
        <v>113.1073</v>
      </c>
      <c r="L11" s="69">
        <v>94.224119999999999</v>
      </c>
      <c r="M11" s="69"/>
      <c r="N11" s="70">
        <f t="shared" si="0"/>
        <v>100.07527599999999</v>
      </c>
      <c r="O11" s="174">
        <f t="shared" si="1"/>
        <v>21.185209999999998</v>
      </c>
      <c r="Q11" s="175">
        <v>7</v>
      </c>
      <c r="R11" s="175">
        <v>0.41899999999999998</v>
      </c>
      <c r="S11" s="175">
        <v>1.1819999999999999</v>
      </c>
      <c r="T11" s="175">
        <v>7.5999999999999998E-2</v>
      </c>
      <c r="U11" s="175">
        <v>1.9239999999999999</v>
      </c>
      <c r="V11" s="175">
        <v>2.7040000000000002</v>
      </c>
      <c r="W11" s="175">
        <v>0.11799999999999999</v>
      </c>
      <c r="X11" s="175">
        <v>1.8819999999999999</v>
      </c>
      <c r="AA11" s="7" t="s">
        <v>309</v>
      </c>
      <c r="AB11" s="43">
        <f>VLOOKUP(AB8,AL6:AS14,8,FALSE)</f>
        <v>2.5680000000000001</v>
      </c>
      <c r="AC11" s="176">
        <v>128.1371</v>
      </c>
      <c r="AD11" s="8">
        <v>128.97489999999999</v>
      </c>
      <c r="AE11" s="69">
        <v>128.5334</v>
      </c>
      <c r="AF11" s="69"/>
      <c r="AG11" s="69"/>
      <c r="AH11" s="69"/>
      <c r="AI11" s="70">
        <f t="shared" si="2"/>
        <v>128.54846666666666</v>
      </c>
      <c r="AJ11" s="177">
        <f t="shared" si="3"/>
        <v>0.41910316550144067</v>
      </c>
      <c r="AL11" s="175">
        <v>7</v>
      </c>
      <c r="AM11" s="175">
        <v>0.41899999999999998</v>
      </c>
      <c r="AN11" s="175">
        <v>1.1819999999999999</v>
      </c>
      <c r="AO11" s="175">
        <v>7.5999999999999998E-2</v>
      </c>
      <c r="AP11" s="175">
        <v>1.9239999999999999</v>
      </c>
      <c r="AQ11" s="175">
        <v>2.7040000000000002</v>
      </c>
      <c r="AR11" s="175">
        <v>0.11799999999999999</v>
      </c>
      <c r="AS11" s="175">
        <v>1.8819999999999999</v>
      </c>
    </row>
    <row r="12" spans="1:45" ht="15.5" x14ac:dyDescent="0.3">
      <c r="A12" s="10" t="s">
        <v>310</v>
      </c>
      <c r="B12" s="186">
        <f>IF(+B11-3*(B11^0.5)&lt;0,0,+B11-3*(B11^0.5))</f>
        <v>0</v>
      </c>
      <c r="F12" s="7" t="s">
        <v>311</v>
      </c>
      <c r="G12" s="172">
        <f>+G6-G9*G7</f>
        <v>89.996478701944454</v>
      </c>
      <c r="H12" s="173">
        <v>82.349189999999993</v>
      </c>
      <c r="I12" s="69">
        <v>119.21</v>
      </c>
      <c r="J12" s="69">
        <v>104.1092</v>
      </c>
      <c r="K12" s="69">
        <v>91.272829999999999</v>
      </c>
      <c r="L12" s="69">
        <v>111.1176</v>
      </c>
      <c r="M12" s="69"/>
      <c r="N12" s="70">
        <f t="shared" si="0"/>
        <v>101.61176399999999</v>
      </c>
      <c r="O12" s="174">
        <f t="shared" si="1"/>
        <v>36.860810000000001</v>
      </c>
      <c r="Q12" s="175">
        <v>8</v>
      </c>
      <c r="R12" s="175">
        <v>0.373</v>
      </c>
      <c r="S12" s="175">
        <v>1.099</v>
      </c>
      <c r="T12" s="175">
        <v>0.13600000000000001</v>
      </c>
      <c r="U12" s="175">
        <v>1.8640000000000001</v>
      </c>
      <c r="V12" s="175">
        <v>2.847</v>
      </c>
      <c r="W12" s="175">
        <v>0.185</v>
      </c>
      <c r="X12" s="175">
        <v>1815</v>
      </c>
      <c r="AA12" s="7" t="s">
        <v>311</v>
      </c>
      <c r="AB12" s="43">
        <f>+AB6-AB9*AB7</f>
        <v>123.41152537240272</v>
      </c>
      <c r="AC12" s="176">
        <v>124.2299</v>
      </c>
      <c r="AD12" s="8">
        <v>126.613</v>
      </c>
      <c r="AE12" s="69">
        <v>128.61359999999999</v>
      </c>
      <c r="AF12" s="69"/>
      <c r="AG12" s="69"/>
      <c r="AH12" s="69"/>
      <c r="AI12" s="70">
        <f t="shared" si="2"/>
        <v>126.4855</v>
      </c>
      <c r="AJ12" s="177">
        <f t="shared" si="3"/>
        <v>2.1946294926479002</v>
      </c>
      <c r="AL12" s="175">
        <v>8</v>
      </c>
      <c r="AM12" s="175">
        <v>0.373</v>
      </c>
      <c r="AN12" s="175">
        <v>1.099</v>
      </c>
      <c r="AO12" s="175">
        <v>0.13600000000000001</v>
      </c>
      <c r="AP12" s="175">
        <v>1.8640000000000001</v>
      </c>
      <c r="AQ12" s="175">
        <v>2.847</v>
      </c>
      <c r="AR12" s="175">
        <v>0.185</v>
      </c>
      <c r="AS12" s="175">
        <v>1815</v>
      </c>
    </row>
    <row r="13" spans="1:45" ht="15.5" x14ac:dyDescent="0.3">
      <c r="A13" s="10" t="s">
        <v>312</v>
      </c>
      <c r="B13" s="186">
        <f>+B11+3*(B11^0.5)</f>
        <v>4.343123475609393</v>
      </c>
      <c r="F13" s="7" t="s">
        <v>313</v>
      </c>
      <c r="G13" s="172">
        <f>+G6+G9*G7</f>
        <v>115.85346718694444</v>
      </c>
      <c r="H13" s="173">
        <v>104.20269999999999</v>
      </c>
      <c r="I13" s="69">
        <v>100.81019999999999</v>
      </c>
      <c r="J13" s="69">
        <v>79.698279999999997</v>
      </c>
      <c r="K13" s="69">
        <v>104.80419999999999</v>
      </c>
      <c r="L13" s="69">
        <v>88.438479999999998</v>
      </c>
      <c r="M13" s="69"/>
      <c r="N13" s="70">
        <f t="shared" si="0"/>
        <v>95.590771999999987</v>
      </c>
      <c r="O13" s="174">
        <f t="shared" si="1"/>
        <v>25.105919999999998</v>
      </c>
      <c r="Q13" s="175">
        <v>9</v>
      </c>
      <c r="R13" s="175">
        <v>0.33700000000000002</v>
      </c>
      <c r="S13" s="175">
        <v>1.032</v>
      </c>
      <c r="T13" s="175">
        <v>0.184</v>
      </c>
      <c r="U13" s="175">
        <v>1.8160000000000001</v>
      </c>
      <c r="V13" s="175">
        <v>2.97</v>
      </c>
      <c r="W13" s="175">
        <v>0.23899999999999999</v>
      </c>
      <c r="X13" s="175">
        <v>1.7609999999999999</v>
      </c>
      <c r="AA13" s="7" t="s">
        <v>313</v>
      </c>
      <c r="AB13" s="43">
        <f>+AB6+AB9*AB7</f>
        <v>131.02807462759728</v>
      </c>
      <c r="AC13" s="176">
        <v>128.33000000000001</v>
      </c>
      <c r="AD13" s="8">
        <v>128.35749999999999</v>
      </c>
      <c r="AE13" s="69">
        <v>126.66070000000001</v>
      </c>
      <c r="AF13" s="69"/>
      <c r="AG13" s="69"/>
      <c r="AH13" s="69"/>
      <c r="AI13" s="70">
        <f t="shared" si="2"/>
        <v>127.78273333333334</v>
      </c>
      <c r="AJ13" s="177">
        <f t="shared" si="3"/>
        <v>0.97180664915060477</v>
      </c>
      <c r="AL13" s="175">
        <v>9</v>
      </c>
      <c r="AM13" s="175">
        <v>0.33700000000000002</v>
      </c>
      <c r="AN13" s="175">
        <v>1.032</v>
      </c>
      <c r="AO13" s="175">
        <v>0.184</v>
      </c>
      <c r="AP13" s="175">
        <v>1.8160000000000001</v>
      </c>
      <c r="AQ13" s="175">
        <v>2.97</v>
      </c>
      <c r="AR13" s="175">
        <v>0.23899999999999999</v>
      </c>
      <c r="AS13" s="175">
        <v>1.7609999999999999</v>
      </c>
    </row>
    <row r="14" spans="1:45" ht="15.5" x14ac:dyDescent="0.25">
      <c r="F14" s="7" t="s">
        <v>314</v>
      </c>
      <c r="G14" s="172">
        <f>+G7*G10</f>
        <v>0</v>
      </c>
      <c r="H14" s="173">
        <v>98.293520000000001</v>
      </c>
      <c r="I14" s="69">
        <v>105.7962</v>
      </c>
      <c r="J14" s="69">
        <v>116.89230000000001</v>
      </c>
      <c r="K14" s="69">
        <v>111.0552</v>
      </c>
      <c r="L14" s="69">
        <v>97.373390000000001</v>
      </c>
      <c r="M14" s="69"/>
      <c r="N14" s="70">
        <f t="shared" si="0"/>
        <v>105.88212200000001</v>
      </c>
      <c r="O14" s="174">
        <f t="shared" si="1"/>
        <v>19.518910000000005</v>
      </c>
      <c r="Q14" s="175">
        <v>10</v>
      </c>
      <c r="R14" s="175">
        <v>0.308</v>
      </c>
      <c r="S14" s="175">
        <v>0.97499999999999998</v>
      </c>
      <c r="T14" s="175">
        <v>0.223</v>
      </c>
      <c r="U14" s="175">
        <v>1.7769999999999999</v>
      </c>
      <c r="V14" s="175">
        <v>3.0779999999999998</v>
      </c>
      <c r="W14" s="175">
        <v>0.28399999999999997</v>
      </c>
      <c r="X14" s="175">
        <v>1.716</v>
      </c>
      <c r="AA14" s="7" t="s">
        <v>315</v>
      </c>
      <c r="AB14" s="43">
        <f>+AB7*AB10</f>
        <v>0</v>
      </c>
      <c r="AC14" s="176">
        <v>126.46559999999999</v>
      </c>
      <c r="AD14" s="8">
        <v>126.797</v>
      </c>
      <c r="AE14" s="69">
        <v>126.1801</v>
      </c>
      <c r="AF14" s="69"/>
      <c r="AG14" s="69"/>
      <c r="AH14" s="69"/>
      <c r="AI14" s="70">
        <f t="shared" si="2"/>
        <v>126.48090000000001</v>
      </c>
      <c r="AJ14" s="177">
        <f t="shared" si="3"/>
        <v>0.3087344651962271</v>
      </c>
      <c r="AL14" s="175">
        <v>10</v>
      </c>
      <c r="AM14" s="175">
        <v>0.308</v>
      </c>
      <c r="AN14" s="175">
        <v>0.97499999999999998</v>
      </c>
      <c r="AO14" s="175">
        <v>0.223</v>
      </c>
      <c r="AP14" s="175">
        <v>1.7769999999999999</v>
      </c>
      <c r="AQ14" s="175">
        <v>3.0779999999999998</v>
      </c>
      <c r="AR14" s="175">
        <v>0.28399999999999997</v>
      </c>
      <c r="AS14" s="175">
        <v>1.716</v>
      </c>
    </row>
    <row r="15" spans="1:45" x14ac:dyDescent="0.25">
      <c r="F15" s="7" t="s">
        <v>316</v>
      </c>
      <c r="G15" s="172">
        <f>+G7*G11</f>
        <v>47.389541287500002</v>
      </c>
      <c r="H15" s="173">
        <v>100.3869</v>
      </c>
      <c r="I15" s="69">
        <v>105.42319999999999</v>
      </c>
      <c r="J15" s="69">
        <v>91.512010000000004</v>
      </c>
      <c r="K15" s="69">
        <v>98.349180000000004</v>
      </c>
      <c r="L15" s="69">
        <v>107.7088</v>
      </c>
      <c r="M15" s="69"/>
      <c r="N15" s="70">
        <f t="shared" si="0"/>
        <v>100.67601799999998</v>
      </c>
      <c r="O15" s="174">
        <f t="shared" si="1"/>
        <v>16.196789999999993</v>
      </c>
      <c r="AA15" s="7" t="s">
        <v>317</v>
      </c>
      <c r="AB15" s="43">
        <f>+AB7*AB11</f>
        <v>5.0049382004451495</v>
      </c>
      <c r="AC15" s="176">
        <v>126.34310000000001</v>
      </c>
      <c r="AD15" s="8">
        <v>125.0117</v>
      </c>
      <c r="AE15" s="69">
        <v>128.1311</v>
      </c>
      <c r="AF15" s="69"/>
      <c r="AG15" s="69"/>
      <c r="AH15" s="69"/>
      <c r="AI15" s="70">
        <f t="shared" si="2"/>
        <v>126.4953</v>
      </c>
      <c r="AJ15" s="177">
        <f t="shared" si="3"/>
        <v>1.5652596334154911</v>
      </c>
    </row>
    <row r="16" spans="1:45" x14ac:dyDescent="0.25">
      <c r="F16" s="16" t="s">
        <v>318</v>
      </c>
      <c r="G16" s="25"/>
      <c r="H16" s="173">
        <v>111.8934</v>
      </c>
      <c r="I16" s="69">
        <v>106.42489999999999</v>
      </c>
      <c r="J16" s="69">
        <v>84.809749999999994</v>
      </c>
      <c r="K16" s="69">
        <v>106.2749</v>
      </c>
      <c r="L16" s="69">
        <v>113.2629</v>
      </c>
      <c r="M16" s="69"/>
      <c r="N16" s="70">
        <f t="shared" si="0"/>
        <v>104.53317</v>
      </c>
      <c r="O16" s="174">
        <f t="shared" si="1"/>
        <v>28.453150000000008</v>
      </c>
      <c r="AA16" s="16"/>
      <c r="AB16" s="25"/>
      <c r="AC16" s="173">
        <v>127.7384</v>
      </c>
      <c r="AD16" s="8">
        <v>130.72499999999999</v>
      </c>
      <c r="AE16" s="69">
        <v>128.12260000000001</v>
      </c>
      <c r="AF16" s="69"/>
      <c r="AG16" s="69"/>
      <c r="AH16" s="69"/>
      <c r="AI16" s="70">
        <f t="shared" si="2"/>
        <v>128.86199999999999</v>
      </c>
      <c r="AJ16" s="177">
        <f t="shared" si="3"/>
        <v>1.6248012678478518</v>
      </c>
    </row>
    <row r="17" spans="1:36" ht="18" x14ac:dyDescent="0.4">
      <c r="A17" s="187" t="s">
        <v>319</v>
      </c>
      <c r="B17" s="19"/>
      <c r="F17" s="16"/>
      <c r="G17" s="25"/>
      <c r="H17" s="173">
        <v>105.086</v>
      </c>
      <c r="I17" s="69">
        <v>97.27225</v>
      </c>
      <c r="J17" s="69">
        <v>99.273349999999994</v>
      </c>
      <c r="K17" s="69">
        <v>107.0954</v>
      </c>
      <c r="L17" s="69">
        <v>118.16379999999999</v>
      </c>
      <c r="M17" s="69"/>
      <c r="N17" s="70">
        <f t="shared" si="0"/>
        <v>105.37816000000001</v>
      </c>
      <c r="O17" s="174">
        <f t="shared" si="1"/>
        <v>20.891549999999995</v>
      </c>
      <c r="AA17" s="16"/>
      <c r="AB17" s="25"/>
      <c r="AC17" s="173">
        <v>130.398</v>
      </c>
      <c r="AD17" s="8">
        <v>132.32679999999999</v>
      </c>
      <c r="AE17" s="69">
        <v>128.19800000000001</v>
      </c>
      <c r="AF17" s="69"/>
      <c r="AG17" s="69"/>
      <c r="AH17" s="69"/>
      <c r="AI17" s="70">
        <f t="shared" si="2"/>
        <v>130.30759999999998</v>
      </c>
      <c r="AJ17" s="177">
        <f t="shared" si="3"/>
        <v>2.0658839464016285</v>
      </c>
    </row>
    <row r="18" spans="1:36" ht="13" x14ac:dyDescent="0.3">
      <c r="A18" s="10" t="s">
        <v>320</v>
      </c>
      <c r="B18" s="18">
        <f>AVERAGE(B27:B147)</f>
        <v>122.36351333333332</v>
      </c>
      <c r="C18" s="25"/>
      <c r="F18" s="16"/>
      <c r="G18" s="25"/>
      <c r="H18" s="173">
        <v>87.86636</v>
      </c>
      <c r="I18" s="69">
        <v>98.866659999999996</v>
      </c>
      <c r="J18" s="69">
        <v>81.12191</v>
      </c>
      <c r="K18" s="69">
        <v>101.5766</v>
      </c>
      <c r="L18" s="69">
        <v>103.8655</v>
      </c>
      <c r="M18" s="69"/>
      <c r="N18" s="70">
        <f t="shared" si="0"/>
        <v>94.659406000000004</v>
      </c>
      <c r="O18" s="174">
        <f t="shared" si="1"/>
        <v>22.743589999999998</v>
      </c>
      <c r="AA18" s="16"/>
      <c r="AB18" s="25"/>
      <c r="AC18" s="173">
        <v>125.36750000000001</v>
      </c>
      <c r="AD18" s="8">
        <v>124.5218</v>
      </c>
      <c r="AE18" s="69">
        <v>128.6232</v>
      </c>
      <c r="AF18" s="69"/>
      <c r="AG18" s="69"/>
      <c r="AH18" s="69"/>
      <c r="AI18" s="70">
        <f t="shared" si="2"/>
        <v>126.17083333333333</v>
      </c>
      <c r="AJ18" s="177">
        <f t="shared" si="3"/>
        <v>2.1654973616546669</v>
      </c>
    </row>
    <row r="19" spans="1:36" ht="13" x14ac:dyDescent="0.3">
      <c r="A19" s="10" t="s">
        <v>321</v>
      </c>
      <c r="B19" s="18">
        <f>AVERAGE(C28:C147)</f>
        <v>9.1676896551724134</v>
      </c>
      <c r="C19" s="25"/>
      <c r="F19" s="16"/>
      <c r="G19" s="25"/>
      <c r="H19" s="173">
        <v>92.062539999999998</v>
      </c>
      <c r="I19" s="69">
        <v>107.5382</v>
      </c>
      <c r="J19" s="69">
        <v>123.4025</v>
      </c>
      <c r="K19" s="69">
        <v>95.345770000000002</v>
      </c>
      <c r="L19" s="69">
        <v>96.309489999999997</v>
      </c>
      <c r="M19" s="69"/>
      <c r="N19" s="70">
        <f t="shared" si="0"/>
        <v>102.93170000000001</v>
      </c>
      <c r="O19" s="174">
        <f t="shared" si="1"/>
        <v>31.339960000000005</v>
      </c>
      <c r="AA19" s="16"/>
      <c r="AB19" s="25"/>
      <c r="AC19" s="173">
        <v>127.4618</v>
      </c>
      <c r="AD19" s="8">
        <v>127.74850000000001</v>
      </c>
      <c r="AE19" s="69">
        <v>131.49850000000001</v>
      </c>
      <c r="AF19" s="69"/>
      <c r="AG19" s="69"/>
      <c r="AH19" s="69"/>
      <c r="AI19" s="70">
        <f t="shared" si="2"/>
        <v>128.90293333333332</v>
      </c>
      <c r="AJ19" s="177">
        <f t="shared" si="3"/>
        <v>2.2523929415919746</v>
      </c>
    </row>
    <row r="20" spans="1:36" ht="13" x14ac:dyDescent="0.3">
      <c r="A20" s="10" t="s">
        <v>311</v>
      </c>
      <c r="B20" s="18">
        <f>+B18-(3/1.128)*B19</f>
        <v>97.981359995108804</v>
      </c>
      <c r="C20" s="25"/>
      <c r="F20" s="16"/>
      <c r="G20" s="25"/>
      <c r="H20" s="173">
        <v>93.277439999999999</v>
      </c>
      <c r="I20" s="69">
        <v>82.505160000000004</v>
      </c>
      <c r="J20" s="69">
        <v>98.103350000000006</v>
      </c>
      <c r="K20" s="69">
        <v>103.28019999999999</v>
      </c>
      <c r="L20" s="69">
        <v>96.796329999999998</v>
      </c>
      <c r="M20" s="69"/>
      <c r="N20" s="70">
        <f t="shared" si="0"/>
        <v>94.792496</v>
      </c>
      <c r="O20" s="174">
        <f t="shared" si="1"/>
        <v>20.77503999999999</v>
      </c>
      <c r="AA20" s="16"/>
      <c r="AB20" s="25"/>
      <c r="AC20" s="173">
        <v>127.50020000000001</v>
      </c>
      <c r="AD20" s="8">
        <v>128.6737</v>
      </c>
      <c r="AE20" s="69">
        <v>131.66079999999999</v>
      </c>
      <c r="AF20" s="69"/>
      <c r="AG20" s="69"/>
      <c r="AH20" s="69"/>
      <c r="AI20" s="70">
        <f t="shared" si="2"/>
        <v>129.27823333333333</v>
      </c>
      <c r="AJ20" s="177">
        <f t="shared" si="3"/>
        <v>2.1451674767563746</v>
      </c>
    </row>
    <row r="21" spans="1:36" ht="13" x14ac:dyDescent="0.3">
      <c r="A21" s="10" t="s">
        <v>313</v>
      </c>
      <c r="B21" s="18">
        <f>+B18+(3/1.128)*B19</f>
        <v>146.74566667155781</v>
      </c>
      <c r="C21" s="25"/>
      <c r="F21" s="16"/>
      <c r="G21" s="25"/>
      <c r="H21" s="173">
        <v>90.338819999999998</v>
      </c>
      <c r="I21" s="69">
        <v>106.4268</v>
      </c>
      <c r="J21" s="69">
        <v>103.0414</v>
      </c>
      <c r="K21" s="69">
        <v>114.1763</v>
      </c>
      <c r="L21" s="69">
        <v>106.28879999999999</v>
      </c>
      <c r="M21" s="69"/>
      <c r="N21" s="70">
        <f t="shared" si="0"/>
        <v>104.05442400000001</v>
      </c>
      <c r="O21" s="174">
        <f t="shared" si="1"/>
        <v>23.837479999999999</v>
      </c>
      <c r="AA21" s="16"/>
      <c r="AB21" s="25"/>
      <c r="AC21" s="173">
        <v>126.46680000000001</v>
      </c>
      <c r="AD21" s="8">
        <v>127.3528</v>
      </c>
      <c r="AE21" s="69">
        <v>123.7016</v>
      </c>
      <c r="AF21" s="69"/>
      <c r="AG21" s="69"/>
      <c r="AH21" s="69"/>
      <c r="AI21" s="70">
        <f t="shared" si="2"/>
        <v>125.8404</v>
      </c>
      <c r="AJ21" s="177">
        <f t="shared" si="3"/>
        <v>1.9044941795657997</v>
      </c>
    </row>
    <row r="22" spans="1:36" x14ac:dyDescent="0.25">
      <c r="C22" s="25"/>
      <c r="F22" s="16"/>
      <c r="G22" s="25"/>
      <c r="H22" s="173">
        <v>110.51649999999999</v>
      </c>
      <c r="I22" s="69">
        <v>104.5021</v>
      </c>
      <c r="J22" s="69">
        <v>82.811940000000007</v>
      </c>
      <c r="K22" s="69">
        <v>109.0536</v>
      </c>
      <c r="L22" s="69">
        <v>94.804410000000004</v>
      </c>
      <c r="M22" s="69"/>
      <c r="N22" s="70">
        <f t="shared" si="0"/>
        <v>100.33771</v>
      </c>
      <c r="O22" s="174">
        <f t="shared" si="1"/>
        <v>27.704559999999987</v>
      </c>
      <c r="AA22" s="16"/>
      <c r="AB22" s="25"/>
      <c r="AC22" s="173">
        <v>128.49379999999999</v>
      </c>
      <c r="AD22" s="8">
        <v>127.5467</v>
      </c>
      <c r="AE22" s="69">
        <v>123.4477</v>
      </c>
      <c r="AF22" s="69"/>
      <c r="AG22" s="69"/>
      <c r="AH22" s="69"/>
      <c r="AI22" s="70">
        <f t="shared" si="2"/>
        <v>126.49606666666666</v>
      </c>
      <c r="AJ22" s="177">
        <f t="shared" si="3"/>
        <v>2.68209882430408</v>
      </c>
    </row>
    <row r="23" spans="1:36" ht="13" x14ac:dyDescent="0.3">
      <c r="A23" s="10" t="s">
        <v>314</v>
      </c>
      <c r="B23" s="18">
        <f>0*B18</f>
        <v>0</v>
      </c>
      <c r="C23" s="25"/>
      <c r="F23" s="16"/>
      <c r="G23" s="25"/>
      <c r="H23" s="173">
        <v>100.3729</v>
      </c>
      <c r="I23" s="69">
        <v>97.443870000000004</v>
      </c>
      <c r="J23" s="69">
        <v>105.3883</v>
      </c>
      <c r="K23" s="69">
        <v>104.6691</v>
      </c>
      <c r="L23" s="69">
        <v>102.85980000000001</v>
      </c>
      <c r="M23" s="69"/>
      <c r="N23" s="70">
        <f t="shared" si="0"/>
        <v>102.14679400000001</v>
      </c>
      <c r="O23" s="174">
        <f t="shared" si="1"/>
        <v>7.944429999999997</v>
      </c>
      <c r="AA23" s="16"/>
      <c r="AB23" s="25"/>
      <c r="AC23" s="173">
        <v>125.3711</v>
      </c>
      <c r="AD23" s="8">
        <v>126.0021</v>
      </c>
      <c r="AE23" s="69">
        <v>127.0308</v>
      </c>
      <c r="AF23" s="69"/>
      <c r="AG23" s="69"/>
      <c r="AH23" s="69"/>
      <c r="AI23" s="70">
        <f t="shared" si="2"/>
        <v>126.13466666666666</v>
      </c>
      <c r="AJ23" s="177">
        <f t="shared" si="3"/>
        <v>0.83775382024395095</v>
      </c>
    </row>
    <row r="24" spans="1:36" ht="13" x14ac:dyDescent="0.3">
      <c r="A24" s="10" t="s">
        <v>316</v>
      </c>
      <c r="B24" s="18">
        <f>3.267*B19</f>
        <v>29.950842103448274</v>
      </c>
      <c r="C24" s="25"/>
      <c r="F24" s="16"/>
      <c r="G24" s="25"/>
      <c r="H24" s="173">
        <v>83.105410000000006</v>
      </c>
      <c r="I24" s="69">
        <v>102.6806</v>
      </c>
      <c r="J24" s="69">
        <v>108.23609999999999</v>
      </c>
      <c r="K24" s="69">
        <v>88.290509999999998</v>
      </c>
      <c r="L24" s="69">
        <v>94.847250000000003</v>
      </c>
      <c r="M24" s="69"/>
      <c r="N24" s="70">
        <f t="shared" si="0"/>
        <v>95.431973999999997</v>
      </c>
      <c r="O24" s="174">
        <f t="shared" si="1"/>
        <v>25.130689999999987</v>
      </c>
      <c r="AA24" s="16"/>
      <c r="AB24" s="25"/>
      <c r="AC24" s="173">
        <v>125.333</v>
      </c>
      <c r="AD24" s="8">
        <v>128.12610000000001</v>
      </c>
      <c r="AE24" s="69">
        <v>126.7548</v>
      </c>
      <c r="AF24" s="69"/>
      <c r="AG24" s="69"/>
      <c r="AH24" s="69"/>
      <c r="AI24" s="70">
        <f t="shared" si="2"/>
        <v>126.73796666666668</v>
      </c>
      <c r="AJ24" s="177">
        <f t="shared" si="3"/>
        <v>1.3966260857270807</v>
      </c>
    </row>
    <row r="25" spans="1:36" x14ac:dyDescent="0.25">
      <c r="F25" s="16"/>
      <c r="G25" s="25"/>
      <c r="H25" s="173">
        <v>105.33500000000001</v>
      </c>
      <c r="I25" s="69">
        <v>93.145030000000006</v>
      </c>
      <c r="J25" s="69">
        <v>105.6028</v>
      </c>
      <c r="K25" s="69">
        <v>101.7653</v>
      </c>
      <c r="L25" s="69">
        <v>115.3172</v>
      </c>
      <c r="M25" s="69"/>
      <c r="N25" s="70">
        <f t="shared" si="0"/>
        <v>104.23306599999998</v>
      </c>
      <c r="O25" s="174">
        <f t="shared" si="1"/>
        <v>22.172169999999994</v>
      </c>
      <c r="AA25" s="16"/>
      <c r="AB25" s="25"/>
      <c r="AC25" s="173">
        <v>129.2456</v>
      </c>
      <c r="AD25" s="8">
        <v>129.8391</v>
      </c>
      <c r="AE25" s="69">
        <v>122.9722</v>
      </c>
      <c r="AF25" s="69"/>
      <c r="AG25" s="69"/>
      <c r="AH25" s="69"/>
      <c r="AI25" s="70">
        <f t="shared" si="2"/>
        <v>127.3523</v>
      </c>
      <c r="AJ25" s="177">
        <f t="shared" si="3"/>
        <v>3.8048676153054255</v>
      </c>
    </row>
    <row r="26" spans="1:36" ht="13" x14ac:dyDescent="0.3">
      <c r="A26" s="188" t="s">
        <v>322</v>
      </c>
      <c r="B26" s="189" t="s">
        <v>280</v>
      </c>
      <c r="C26" s="68" t="s">
        <v>323</v>
      </c>
      <c r="D26" s="31"/>
      <c r="F26" s="16"/>
      <c r="G26" s="25"/>
      <c r="H26" s="173">
        <v>106.6267</v>
      </c>
      <c r="I26" s="69">
        <v>119.3815</v>
      </c>
      <c r="J26" s="69">
        <v>97.909779999999998</v>
      </c>
      <c r="K26" s="69">
        <v>116.6315</v>
      </c>
      <c r="L26" s="69">
        <v>106.38200000000001</v>
      </c>
      <c r="M26" s="69"/>
      <c r="N26" s="70">
        <f t="shared" si="0"/>
        <v>109.38629599999999</v>
      </c>
      <c r="O26" s="174">
        <f t="shared" si="1"/>
        <v>21.471720000000005</v>
      </c>
      <c r="AA26" s="16"/>
      <c r="AB26" s="25"/>
      <c r="AC26" s="173">
        <v>125.2595</v>
      </c>
      <c r="AD26" s="8">
        <v>126.04559999999999</v>
      </c>
      <c r="AE26" s="69">
        <v>124.07470000000001</v>
      </c>
      <c r="AF26" s="69"/>
      <c r="AG26" s="69"/>
      <c r="AH26" s="69"/>
      <c r="AI26" s="70">
        <f t="shared" si="2"/>
        <v>125.1266</v>
      </c>
      <c r="AJ26" s="177">
        <f t="shared" si="3"/>
        <v>0.992148431435532</v>
      </c>
    </row>
    <row r="27" spans="1:36" ht="13" x14ac:dyDescent="0.3">
      <c r="A27" s="190">
        <v>1</v>
      </c>
      <c r="B27" s="69">
        <v>132.7978</v>
      </c>
      <c r="C27" s="188"/>
      <c r="D27" s="31"/>
      <c r="F27" s="16"/>
      <c r="G27" s="25"/>
      <c r="H27" s="173">
        <v>92.015590000000003</v>
      </c>
      <c r="I27" s="69">
        <v>91.821039999999996</v>
      </c>
      <c r="J27" s="69">
        <v>112.5166</v>
      </c>
      <c r="K27" s="69">
        <v>110.54819999999999</v>
      </c>
      <c r="L27" s="69">
        <v>90.641840000000002</v>
      </c>
      <c r="M27" s="69"/>
      <c r="N27" s="70">
        <f t="shared" si="0"/>
        <v>99.508654000000007</v>
      </c>
      <c r="O27" s="174">
        <f t="shared" si="1"/>
        <v>21.874759999999995</v>
      </c>
      <c r="AA27" s="16"/>
      <c r="AB27" s="25"/>
      <c r="AC27" s="173">
        <v>124.5187</v>
      </c>
      <c r="AD27" s="8">
        <v>126.4708</v>
      </c>
      <c r="AE27" s="69">
        <v>127.47539999999999</v>
      </c>
      <c r="AF27" s="69"/>
      <c r="AG27" s="69"/>
      <c r="AH27" s="69"/>
      <c r="AI27" s="70">
        <f t="shared" si="2"/>
        <v>126.15496666666667</v>
      </c>
      <c r="AJ27" s="177">
        <f t="shared" si="3"/>
        <v>1.5034399699799561</v>
      </c>
    </row>
    <row r="28" spans="1:36" x14ac:dyDescent="0.25">
      <c r="A28" s="190">
        <v>2</v>
      </c>
      <c r="B28" s="69">
        <v>134.30770000000001</v>
      </c>
      <c r="C28" s="190">
        <f>ABS(B27-B28)</f>
        <v>1.509900000000016</v>
      </c>
      <c r="D28" s="191"/>
      <c r="F28" s="16"/>
      <c r="G28" s="25"/>
      <c r="H28" s="173">
        <v>98.993449999999996</v>
      </c>
      <c r="I28" s="69">
        <v>106.77800000000001</v>
      </c>
      <c r="J28" s="69">
        <v>105.7135</v>
      </c>
      <c r="K28" s="69">
        <v>117.84269999999999</v>
      </c>
      <c r="L28" s="69">
        <v>105.45569999999999</v>
      </c>
      <c r="M28" s="69"/>
      <c r="N28" s="70">
        <f t="shared" si="0"/>
        <v>106.95667</v>
      </c>
      <c r="O28" s="174">
        <f t="shared" si="1"/>
        <v>18.849249999999998</v>
      </c>
      <c r="AA28" s="16"/>
      <c r="AB28" s="25"/>
      <c r="AC28" s="173">
        <v>127.29900000000001</v>
      </c>
      <c r="AD28" s="8">
        <v>126.7531</v>
      </c>
      <c r="AE28" s="69">
        <v>131.7225</v>
      </c>
      <c r="AF28" s="69"/>
      <c r="AG28" s="69"/>
      <c r="AH28" s="69"/>
      <c r="AI28" s="70">
        <f t="shared" si="2"/>
        <v>128.59153333333333</v>
      </c>
      <c r="AJ28" s="177">
        <f t="shared" si="3"/>
        <v>2.7252001583981511</v>
      </c>
    </row>
    <row r="29" spans="1:36" x14ac:dyDescent="0.25">
      <c r="A29" s="190">
        <v>3</v>
      </c>
      <c r="B29" s="69">
        <v>119.5121</v>
      </c>
      <c r="C29" s="190">
        <f>ABS(B28-B29)</f>
        <v>14.795600000000007</v>
      </c>
      <c r="D29" s="191"/>
      <c r="F29" s="16"/>
      <c r="H29" s="192">
        <v>112.7564</v>
      </c>
      <c r="I29" s="69">
        <v>110.98269999999999</v>
      </c>
      <c r="J29" s="69">
        <v>112.2543</v>
      </c>
      <c r="K29" s="69">
        <v>108.1028</v>
      </c>
      <c r="L29" s="69">
        <v>83.095290000000006</v>
      </c>
      <c r="M29" s="69"/>
      <c r="N29" s="70">
        <f t="shared" si="0"/>
        <v>105.438298</v>
      </c>
      <c r="O29" s="174">
        <f t="shared" si="1"/>
        <v>29.661109999999994</v>
      </c>
      <c r="AA29" s="16"/>
      <c r="AC29" s="192">
        <v>124.1459</v>
      </c>
      <c r="AD29" s="69">
        <v>125.65940000000001</v>
      </c>
      <c r="AE29" s="69">
        <v>129.261</v>
      </c>
      <c r="AF29" s="69"/>
      <c r="AG29" s="69"/>
      <c r="AH29" s="69"/>
      <c r="AI29" s="70">
        <f t="shared" si="2"/>
        <v>126.35543333333332</v>
      </c>
      <c r="AJ29" s="177">
        <f t="shared" si="3"/>
        <v>2.6276241746744002</v>
      </c>
    </row>
    <row r="30" spans="1:36" x14ac:dyDescent="0.25">
      <c r="A30" s="190">
        <v>4</v>
      </c>
      <c r="B30" s="69">
        <v>104.55029999999999</v>
      </c>
      <c r="C30" s="190">
        <f>ABS(B29-B30)</f>
        <v>14.961800000000011</v>
      </c>
      <c r="D30" s="191"/>
      <c r="F30" s="16"/>
      <c r="H30" s="192">
        <v>99.617800000000003</v>
      </c>
      <c r="I30" s="69">
        <v>101.0685</v>
      </c>
      <c r="J30" s="69">
        <v>92.032660000000007</v>
      </c>
      <c r="K30" s="69">
        <v>101.994</v>
      </c>
      <c r="L30" s="69">
        <v>94.944159999999997</v>
      </c>
      <c r="M30" s="69"/>
      <c r="N30" s="70">
        <f t="shared" si="0"/>
        <v>97.931424000000021</v>
      </c>
      <c r="O30" s="174">
        <f t="shared" si="1"/>
        <v>9.9613399999999928</v>
      </c>
      <c r="AA30" s="16"/>
      <c r="AC30" s="192">
        <v>126.8403</v>
      </c>
      <c r="AD30" s="69">
        <v>123.2529</v>
      </c>
      <c r="AE30" s="69">
        <v>127.5847</v>
      </c>
      <c r="AF30" s="69"/>
      <c r="AG30" s="69"/>
      <c r="AH30" s="69"/>
      <c r="AI30" s="70">
        <f t="shared" si="2"/>
        <v>125.89263333333334</v>
      </c>
      <c r="AJ30" s="177">
        <f t="shared" si="3"/>
        <v>2.3161772154421469</v>
      </c>
    </row>
    <row r="31" spans="1:36" x14ac:dyDescent="0.25">
      <c r="A31" s="190">
        <v>5</v>
      </c>
      <c r="B31" s="69">
        <v>120.7937</v>
      </c>
      <c r="C31" s="190">
        <f t="shared" ref="C31:C56" si="4">ABS(B30-B31)</f>
        <v>16.243400000000008</v>
      </c>
      <c r="D31" s="191"/>
      <c r="F31" s="16"/>
      <c r="H31" s="192">
        <v>104.7337</v>
      </c>
      <c r="I31" s="69">
        <v>77.458430000000007</v>
      </c>
      <c r="J31" s="69">
        <v>93.105289999999997</v>
      </c>
      <c r="K31" s="69">
        <v>108.6503</v>
      </c>
      <c r="L31" s="69">
        <v>103.238</v>
      </c>
      <c r="M31" s="69"/>
      <c r="N31" s="70">
        <f t="shared" si="0"/>
        <v>97.437144000000004</v>
      </c>
      <c r="O31" s="174">
        <f t="shared" si="1"/>
        <v>31.191869999999994</v>
      </c>
      <c r="AA31" s="16"/>
      <c r="AC31" s="192">
        <v>124.2195</v>
      </c>
      <c r="AD31" s="69">
        <v>124.1251</v>
      </c>
      <c r="AE31" s="69">
        <v>129.45099999999999</v>
      </c>
      <c r="AF31" s="69"/>
      <c r="AG31" s="69"/>
      <c r="AH31" s="69"/>
      <c r="AI31" s="70">
        <f t="shared" si="2"/>
        <v>125.93186666666668</v>
      </c>
      <c r="AJ31" s="177">
        <f t="shared" si="3"/>
        <v>3.0480243442816053</v>
      </c>
    </row>
    <row r="32" spans="1:36" x14ac:dyDescent="0.25">
      <c r="A32" s="190">
        <v>6</v>
      </c>
      <c r="B32" s="69">
        <v>120.16240000000001</v>
      </c>
      <c r="C32" s="190">
        <f>ABS(B31-B32)</f>
        <v>0.63129999999999598</v>
      </c>
      <c r="D32" s="191"/>
      <c r="F32" s="16"/>
      <c r="H32" s="192">
        <v>101.0971</v>
      </c>
      <c r="I32" s="69">
        <v>110.1771</v>
      </c>
      <c r="J32" s="69">
        <v>104.5348</v>
      </c>
      <c r="K32" s="69">
        <v>101.2701</v>
      </c>
      <c r="L32" s="69">
        <v>110.6263</v>
      </c>
      <c r="M32" s="69"/>
      <c r="N32" s="70">
        <f t="shared" si="0"/>
        <v>105.54108000000001</v>
      </c>
      <c r="O32" s="174">
        <f t="shared" si="1"/>
        <v>9.529200000000003</v>
      </c>
      <c r="AA32" s="16"/>
      <c r="AC32" s="192">
        <v>127.4302</v>
      </c>
      <c r="AD32" s="69">
        <v>124.95610000000001</v>
      </c>
      <c r="AE32" s="69">
        <v>127.8043</v>
      </c>
      <c r="AF32" s="69"/>
      <c r="AG32" s="69"/>
      <c r="AH32" s="69"/>
      <c r="AI32" s="70">
        <f t="shared" si="2"/>
        <v>126.73020000000001</v>
      </c>
      <c r="AJ32" s="177">
        <f t="shared" si="3"/>
        <v>1.5477599329353329</v>
      </c>
    </row>
    <row r="33" spans="1:36" x14ac:dyDescent="0.25">
      <c r="A33" s="190">
        <v>7</v>
      </c>
      <c r="B33" s="69">
        <v>125.0864</v>
      </c>
      <c r="C33" s="190">
        <f t="shared" si="4"/>
        <v>4.9239999999999924</v>
      </c>
      <c r="D33" s="191"/>
      <c r="F33" s="16"/>
      <c r="H33" s="192">
        <v>96.132509999999996</v>
      </c>
      <c r="I33" s="69">
        <v>108.3254</v>
      </c>
      <c r="J33" s="69">
        <v>88.201840000000004</v>
      </c>
      <c r="K33" s="69">
        <v>112.557</v>
      </c>
      <c r="L33" s="69">
        <v>117.13079999999999</v>
      </c>
      <c r="M33" s="69"/>
      <c r="N33" s="70">
        <f t="shared" si="0"/>
        <v>104.46951000000001</v>
      </c>
      <c r="O33" s="174">
        <f t="shared" si="1"/>
        <v>28.928959999999989</v>
      </c>
      <c r="AA33" s="16"/>
      <c r="AC33" s="192">
        <v>124.5795</v>
      </c>
      <c r="AD33" s="69">
        <v>129.24680000000001</v>
      </c>
      <c r="AE33" s="69">
        <v>129.81649999999999</v>
      </c>
      <c r="AF33" s="69"/>
      <c r="AG33" s="69"/>
      <c r="AH33" s="69"/>
      <c r="AI33" s="70">
        <f t="shared" si="2"/>
        <v>127.88093333333332</v>
      </c>
      <c r="AJ33" s="177">
        <f t="shared" si="3"/>
        <v>2.8732796702258794</v>
      </c>
    </row>
    <row r="34" spans="1:36" x14ac:dyDescent="0.25">
      <c r="A34" s="190">
        <v>8</v>
      </c>
      <c r="B34" s="69">
        <v>120.5234</v>
      </c>
      <c r="C34" s="190">
        <f t="shared" si="4"/>
        <v>4.5630000000000024</v>
      </c>
      <c r="D34" s="191"/>
      <c r="F34" s="16"/>
      <c r="H34" s="192">
        <v>121.6031</v>
      </c>
      <c r="I34" s="69">
        <v>98.057590000000005</v>
      </c>
      <c r="J34" s="69">
        <v>108.48950000000001</v>
      </c>
      <c r="K34" s="69">
        <v>103.2996</v>
      </c>
      <c r="L34" s="69">
        <v>109.13160000000001</v>
      </c>
      <c r="M34" s="69"/>
      <c r="N34" s="70">
        <f t="shared" si="0"/>
        <v>108.11627800000001</v>
      </c>
      <c r="O34" s="174">
        <f t="shared" si="1"/>
        <v>23.545509999999993</v>
      </c>
      <c r="AA34" s="16"/>
      <c r="AC34" s="192">
        <v>127.77500000000001</v>
      </c>
      <c r="AD34" s="69">
        <v>126.254</v>
      </c>
      <c r="AE34" s="69">
        <v>127.2499</v>
      </c>
      <c r="AF34" s="69"/>
      <c r="AG34" s="69"/>
      <c r="AH34" s="69"/>
      <c r="AI34" s="70">
        <f t="shared" si="2"/>
        <v>127.09296666666667</v>
      </c>
      <c r="AJ34" s="177">
        <f t="shared" si="3"/>
        <v>0.77254857668196664</v>
      </c>
    </row>
    <row r="35" spans="1:36" x14ac:dyDescent="0.25">
      <c r="A35" s="190">
        <v>9</v>
      </c>
      <c r="B35" s="69">
        <v>129</v>
      </c>
      <c r="C35" s="190">
        <f t="shared" si="4"/>
        <v>8.4766000000000048</v>
      </c>
      <c r="D35" s="191"/>
      <c r="H35" s="192">
        <v>101.021</v>
      </c>
      <c r="I35" s="69">
        <v>100.7505</v>
      </c>
      <c r="J35" s="69">
        <v>101.9233</v>
      </c>
      <c r="K35" s="69">
        <v>92.619870000000006</v>
      </c>
      <c r="L35" s="69">
        <v>95.438339999999997</v>
      </c>
      <c r="M35" s="69"/>
      <c r="N35" s="70">
        <f t="shared" si="0"/>
        <v>98.350601999999995</v>
      </c>
      <c r="O35" s="174">
        <f t="shared" si="1"/>
        <v>9.3034299999999917</v>
      </c>
      <c r="AC35" s="192">
        <v>123.4769</v>
      </c>
      <c r="AD35" s="69">
        <v>125.98050000000001</v>
      </c>
      <c r="AE35" s="69">
        <v>129.81780000000001</v>
      </c>
      <c r="AF35" s="69"/>
      <c r="AG35" s="69"/>
      <c r="AH35" s="69"/>
      <c r="AI35" s="70">
        <f t="shared" si="2"/>
        <v>126.42506666666668</v>
      </c>
      <c r="AJ35" s="177">
        <f t="shared" si="3"/>
        <v>3.1937411985527802</v>
      </c>
    </row>
    <row r="36" spans="1:36" x14ac:dyDescent="0.25">
      <c r="A36" s="190">
        <v>10</v>
      </c>
      <c r="B36" s="69">
        <v>136.61070000000001</v>
      </c>
      <c r="C36" s="190">
        <f t="shared" si="4"/>
        <v>7.6107000000000085</v>
      </c>
      <c r="D36" s="191"/>
      <c r="H36" s="192">
        <v>94.807910000000007</v>
      </c>
      <c r="I36" s="69">
        <v>94.958470000000005</v>
      </c>
      <c r="J36" s="69">
        <v>103.036</v>
      </c>
      <c r="K36" s="69">
        <v>108.5557</v>
      </c>
      <c r="L36" s="69">
        <v>91.667969999999997</v>
      </c>
      <c r="M36" s="69"/>
      <c r="N36" s="70">
        <f t="shared" ref="N36:N41" si="5">AVERAGE(H36:M36)</f>
        <v>98.605210000000014</v>
      </c>
      <c r="O36" s="174">
        <f t="shared" ref="O36:O41" si="6">MAX(H36:M36)-MIN(H36:M36)</f>
        <v>16.887730000000005</v>
      </c>
      <c r="AC36" s="192">
        <v>127.45229999999999</v>
      </c>
      <c r="AD36" s="69">
        <v>125.6015</v>
      </c>
      <c r="AE36" s="69">
        <v>127.51479999999999</v>
      </c>
      <c r="AF36" s="69"/>
      <c r="AG36" s="69"/>
      <c r="AH36" s="69"/>
      <c r="AI36" s="70">
        <f t="shared" si="2"/>
        <v>126.8562</v>
      </c>
      <c r="AJ36" s="177">
        <f t="shared" si="3"/>
        <v>1.0870513465333598</v>
      </c>
    </row>
    <row r="37" spans="1:36" x14ac:dyDescent="0.25">
      <c r="A37" s="190">
        <v>11</v>
      </c>
      <c r="B37" s="69">
        <v>119.2281</v>
      </c>
      <c r="C37" s="190">
        <f t="shared" si="4"/>
        <v>17.382600000000011</v>
      </c>
      <c r="D37" s="191"/>
      <c r="H37" s="192">
        <v>104.8261</v>
      </c>
      <c r="I37" s="69">
        <v>89.511340000000004</v>
      </c>
      <c r="J37" s="69">
        <v>94.379059999999996</v>
      </c>
      <c r="K37" s="69">
        <v>107.3323</v>
      </c>
      <c r="L37" s="69">
        <v>112.1412</v>
      </c>
      <c r="M37" s="69"/>
      <c r="N37" s="70">
        <f t="shared" si="5"/>
        <v>101.63800000000001</v>
      </c>
      <c r="O37" s="174">
        <f t="shared" si="6"/>
        <v>22.629859999999994</v>
      </c>
      <c r="AC37" s="192">
        <v>130.37899999999999</v>
      </c>
      <c r="AD37" s="69">
        <v>126.166</v>
      </c>
      <c r="AE37" s="69">
        <v>126.63549999999999</v>
      </c>
      <c r="AF37" s="69"/>
      <c r="AG37" s="69"/>
      <c r="AH37" s="69"/>
      <c r="AI37" s="70">
        <f t="shared" si="2"/>
        <v>127.72683333333332</v>
      </c>
      <c r="AJ37" s="177">
        <f t="shared" si="3"/>
        <v>2.3088089100948395</v>
      </c>
    </row>
    <row r="38" spans="1:36" x14ac:dyDescent="0.25">
      <c r="A38" s="190">
        <v>12</v>
      </c>
      <c r="B38" s="69">
        <v>114.1541</v>
      </c>
      <c r="C38" s="190">
        <f t="shared" si="4"/>
        <v>5.0739999999999981</v>
      </c>
      <c r="D38" s="191"/>
      <c r="H38" s="192">
        <v>110.4126</v>
      </c>
      <c r="I38" s="69">
        <v>109.94880000000001</v>
      </c>
      <c r="J38" s="69">
        <v>92.111720000000005</v>
      </c>
      <c r="K38" s="69">
        <v>98.971000000000004</v>
      </c>
      <c r="L38" s="69">
        <v>114.3181</v>
      </c>
      <c r="M38" s="69"/>
      <c r="N38" s="70">
        <f t="shared" si="5"/>
        <v>105.15244399999999</v>
      </c>
      <c r="O38" s="174">
        <f t="shared" si="6"/>
        <v>22.206379999999996</v>
      </c>
      <c r="AC38" s="192">
        <v>127.46769999999999</v>
      </c>
      <c r="AD38" s="69">
        <v>125.8587</v>
      </c>
      <c r="AE38" s="69">
        <v>130.33860000000001</v>
      </c>
      <c r="AF38" s="69"/>
      <c r="AG38" s="69"/>
      <c r="AH38" s="69"/>
      <c r="AI38" s="70">
        <f t="shared" ref="AI38:AI53" si="7">AVERAGE(AC38:AH38)</f>
        <v>127.88833333333332</v>
      </c>
      <c r="AJ38" s="177">
        <f t="shared" ref="AJ38:AJ53" si="8">STDEV(AC38:AH38)</f>
        <v>2.2693777348280677</v>
      </c>
    </row>
    <row r="39" spans="1:36" x14ac:dyDescent="0.25">
      <c r="A39" s="190">
        <v>13</v>
      </c>
      <c r="B39" s="69">
        <v>121.46729999999999</v>
      </c>
      <c r="C39" s="190">
        <f t="shared" si="4"/>
        <v>7.3131999999999948</v>
      </c>
      <c r="D39" s="191"/>
      <c r="H39" s="192">
        <v>116.8434</v>
      </c>
      <c r="I39" s="69">
        <v>116.1413</v>
      </c>
      <c r="J39" s="69">
        <v>102.3126</v>
      </c>
      <c r="K39" s="69">
        <v>93.059420000000003</v>
      </c>
      <c r="L39" s="69">
        <v>95.329880000000003</v>
      </c>
      <c r="M39" s="69"/>
      <c r="N39" s="70">
        <f t="shared" si="5"/>
        <v>104.73732</v>
      </c>
      <c r="O39" s="174">
        <f t="shared" si="6"/>
        <v>23.78398</v>
      </c>
      <c r="AC39" s="192">
        <v>126.06950000000001</v>
      </c>
      <c r="AD39" s="69">
        <v>122.9286</v>
      </c>
      <c r="AE39" s="69">
        <v>126.3203</v>
      </c>
      <c r="AF39" s="69"/>
      <c r="AG39" s="69"/>
      <c r="AH39" s="69"/>
      <c r="AI39" s="70">
        <f t="shared" si="7"/>
        <v>125.10613333333333</v>
      </c>
      <c r="AJ39" s="177">
        <f t="shared" si="8"/>
        <v>1.8899639476279264</v>
      </c>
    </row>
    <row r="40" spans="1:36" x14ac:dyDescent="0.25">
      <c r="A40" s="190">
        <v>14</v>
      </c>
      <c r="B40" s="69">
        <v>127.32559999999999</v>
      </c>
      <c r="C40" s="190">
        <f t="shared" si="4"/>
        <v>5.8582999999999998</v>
      </c>
      <c r="D40" s="191"/>
      <c r="H40" s="192">
        <v>115.01990000000001</v>
      </c>
      <c r="I40" s="69">
        <v>108.51179999999999</v>
      </c>
      <c r="J40" s="69">
        <v>121.8661</v>
      </c>
      <c r="K40" s="69">
        <v>103.8466</v>
      </c>
      <c r="L40" s="69">
        <v>119.983</v>
      </c>
      <c r="M40" s="69"/>
      <c r="N40" s="70">
        <f t="shared" si="5"/>
        <v>113.84547999999999</v>
      </c>
      <c r="O40" s="174">
        <f t="shared" si="6"/>
        <v>18.019500000000008</v>
      </c>
      <c r="AC40" s="192">
        <v>126.07599999999999</v>
      </c>
      <c r="AD40" s="69">
        <v>130.75649999999999</v>
      </c>
      <c r="AE40" s="69">
        <v>126.5825</v>
      </c>
      <c r="AF40" s="69"/>
      <c r="AG40" s="69"/>
      <c r="AH40" s="69"/>
      <c r="AI40" s="70">
        <f t="shared" si="7"/>
        <v>127.80499999999999</v>
      </c>
      <c r="AJ40" s="177">
        <f t="shared" si="8"/>
        <v>2.5685890582185356</v>
      </c>
    </row>
    <row r="41" spans="1:36" x14ac:dyDescent="0.25">
      <c r="A41" s="190">
        <v>15</v>
      </c>
      <c r="B41" s="69">
        <v>119.9371</v>
      </c>
      <c r="C41" s="190">
        <f t="shared" si="4"/>
        <v>7.3884999999999934</v>
      </c>
      <c r="D41" s="191"/>
      <c r="H41" s="192">
        <v>118.39149999999999</v>
      </c>
      <c r="I41" s="69">
        <v>108.2085</v>
      </c>
      <c r="J41" s="69">
        <v>80.134559999999993</v>
      </c>
      <c r="K41" s="69">
        <v>118.7723</v>
      </c>
      <c r="L41" s="69">
        <v>90.455560000000006</v>
      </c>
      <c r="M41" s="69"/>
      <c r="N41" s="70">
        <f t="shared" si="5"/>
        <v>103.19248399999999</v>
      </c>
      <c r="O41" s="174">
        <f t="shared" si="6"/>
        <v>38.637740000000008</v>
      </c>
      <c r="AC41" s="192">
        <v>128.18889999999999</v>
      </c>
      <c r="AD41" s="69">
        <v>127.2586</v>
      </c>
      <c r="AE41" s="69">
        <v>128.3613</v>
      </c>
      <c r="AF41" s="69"/>
      <c r="AG41" s="69"/>
      <c r="AH41" s="69"/>
      <c r="AI41" s="70">
        <f t="shared" si="7"/>
        <v>127.93626666666667</v>
      </c>
      <c r="AJ41" s="177">
        <f t="shared" si="8"/>
        <v>0.59317326586194852</v>
      </c>
    </row>
    <row r="42" spans="1:36" x14ac:dyDescent="0.25">
      <c r="A42" s="190">
        <v>16</v>
      </c>
      <c r="B42" s="69">
        <v>129.87799999999999</v>
      </c>
      <c r="C42" s="190">
        <f t="shared" si="4"/>
        <v>9.940899999999985</v>
      </c>
      <c r="D42" s="191"/>
      <c r="H42" s="192"/>
      <c r="I42" s="69"/>
      <c r="J42" s="69"/>
      <c r="K42" s="69"/>
      <c r="L42" s="69"/>
      <c r="M42" s="69"/>
      <c r="N42" s="70"/>
      <c r="O42" s="174"/>
      <c r="AC42" s="192">
        <v>125.91419999999999</v>
      </c>
      <c r="AD42" s="69">
        <v>126.70740000000001</v>
      </c>
      <c r="AE42" s="69">
        <v>124.67319999999999</v>
      </c>
      <c r="AF42" s="69"/>
      <c r="AG42" s="69"/>
      <c r="AH42" s="69"/>
      <c r="AI42" s="70">
        <f t="shared" si="7"/>
        <v>125.76493333333333</v>
      </c>
      <c r="AJ42" s="177">
        <f t="shared" si="8"/>
        <v>1.0252818214195281</v>
      </c>
    </row>
    <row r="43" spans="1:36" x14ac:dyDescent="0.25">
      <c r="A43" s="190">
        <v>17</v>
      </c>
      <c r="B43" s="69">
        <v>116.0068</v>
      </c>
      <c r="C43" s="190">
        <f t="shared" si="4"/>
        <v>13.871199999999988</v>
      </c>
      <c r="D43" s="191"/>
      <c r="H43" s="192"/>
      <c r="I43" s="69"/>
      <c r="J43" s="69"/>
      <c r="K43" s="69"/>
      <c r="L43" s="69"/>
      <c r="M43" s="69"/>
      <c r="N43" s="70"/>
      <c r="O43" s="174"/>
      <c r="AC43" s="192">
        <v>130.8493</v>
      </c>
      <c r="AD43" s="69">
        <v>126.6861</v>
      </c>
      <c r="AE43" s="69">
        <v>125.57170000000001</v>
      </c>
      <c r="AF43" s="69"/>
      <c r="AG43" s="69"/>
      <c r="AH43" s="69"/>
      <c r="AI43" s="70">
        <f t="shared" si="7"/>
        <v>127.70236666666666</v>
      </c>
      <c r="AJ43" s="177">
        <f t="shared" si="8"/>
        <v>2.7817016183144663</v>
      </c>
    </row>
    <row r="44" spans="1:36" x14ac:dyDescent="0.25">
      <c r="A44" s="190">
        <v>18</v>
      </c>
      <c r="B44" s="69">
        <v>133.46170000000001</v>
      </c>
      <c r="C44" s="190">
        <f t="shared" si="4"/>
        <v>17.454900000000009</v>
      </c>
      <c r="D44" s="191"/>
      <c r="H44" s="192"/>
      <c r="I44" s="69"/>
      <c r="J44" s="69"/>
      <c r="K44" s="69"/>
      <c r="L44" s="69"/>
      <c r="M44" s="69"/>
      <c r="N44" s="70"/>
      <c r="O44" s="174"/>
      <c r="AC44" s="192">
        <v>125.95229999999999</v>
      </c>
      <c r="AD44" s="69">
        <v>128.334</v>
      </c>
      <c r="AE44" s="69">
        <v>130.95930000000001</v>
      </c>
      <c r="AF44" s="69"/>
      <c r="AG44" s="69"/>
      <c r="AH44" s="69"/>
      <c r="AI44" s="70">
        <f t="shared" si="7"/>
        <v>128.4152</v>
      </c>
      <c r="AJ44" s="177">
        <f t="shared" si="8"/>
        <v>2.5044874385790097</v>
      </c>
    </row>
    <row r="45" spans="1:36" x14ac:dyDescent="0.25">
      <c r="A45" s="190">
        <v>19</v>
      </c>
      <c r="B45" s="69">
        <v>116.77200000000001</v>
      </c>
      <c r="C45" s="190">
        <f t="shared" si="4"/>
        <v>16.689700000000002</v>
      </c>
      <c r="D45" s="191"/>
      <c r="H45" s="192"/>
      <c r="I45" s="69"/>
      <c r="J45" s="69"/>
      <c r="K45" s="69"/>
      <c r="L45" s="69"/>
      <c r="M45" s="69"/>
      <c r="N45" s="70"/>
      <c r="O45" s="174"/>
      <c r="AC45" s="192">
        <v>126.5868</v>
      </c>
      <c r="AD45" s="69">
        <v>127.10509999999999</v>
      </c>
      <c r="AE45" s="69">
        <v>128.22829999999999</v>
      </c>
      <c r="AF45" s="69"/>
      <c r="AG45" s="69"/>
      <c r="AH45" s="69"/>
      <c r="AI45" s="70">
        <f t="shared" si="7"/>
        <v>127.30673333333333</v>
      </c>
      <c r="AJ45" s="177">
        <f t="shared" si="8"/>
        <v>0.83912011257824592</v>
      </c>
    </row>
    <row r="46" spans="1:36" x14ac:dyDescent="0.25">
      <c r="A46" s="190">
        <v>20</v>
      </c>
      <c r="B46" s="69">
        <v>114.26739999999999</v>
      </c>
      <c r="C46" s="190">
        <f t="shared" si="4"/>
        <v>2.5046000000000106</v>
      </c>
      <c r="D46" s="191"/>
      <c r="H46" s="192"/>
      <c r="I46" s="69"/>
      <c r="J46" s="69"/>
      <c r="K46" s="69"/>
      <c r="L46" s="69"/>
      <c r="M46" s="69"/>
      <c r="N46" s="70"/>
      <c r="O46" s="174"/>
      <c r="AC46" s="192">
        <v>125.9783</v>
      </c>
      <c r="AD46" s="69">
        <v>125.5972</v>
      </c>
      <c r="AE46" s="69">
        <v>126.5676</v>
      </c>
      <c r="AF46" s="69"/>
      <c r="AG46" s="69"/>
      <c r="AH46" s="69"/>
      <c r="AI46" s="70">
        <f t="shared" si="7"/>
        <v>126.04770000000001</v>
      </c>
      <c r="AJ46" s="177">
        <f t="shared" si="8"/>
        <v>0.48890828383245738</v>
      </c>
    </row>
    <row r="47" spans="1:36" x14ac:dyDescent="0.25">
      <c r="A47" s="190">
        <v>21</v>
      </c>
      <c r="B47" s="69">
        <v>124.622</v>
      </c>
      <c r="C47" s="190">
        <f t="shared" si="4"/>
        <v>10.354600000000005</v>
      </c>
      <c r="D47" s="191"/>
      <c r="H47" s="192"/>
      <c r="I47" s="69"/>
      <c r="J47" s="69"/>
      <c r="K47" s="69"/>
      <c r="L47" s="69"/>
      <c r="M47" s="69"/>
      <c r="N47" s="70"/>
      <c r="O47" s="174"/>
      <c r="AC47" s="192">
        <v>126.9586</v>
      </c>
      <c r="AD47" s="69">
        <v>130.89099999999999</v>
      </c>
      <c r="AE47" s="69">
        <v>127.6511</v>
      </c>
      <c r="AF47" s="69"/>
      <c r="AG47" s="69"/>
      <c r="AH47" s="69"/>
      <c r="AI47" s="70">
        <f t="shared" si="7"/>
        <v>128.50023333333334</v>
      </c>
      <c r="AJ47" s="177">
        <f t="shared" si="8"/>
        <v>2.0992172358603831</v>
      </c>
    </row>
    <row r="48" spans="1:36" x14ac:dyDescent="0.25">
      <c r="A48" s="190">
        <v>22</v>
      </c>
      <c r="B48" s="69">
        <v>111.5557</v>
      </c>
      <c r="C48" s="190">
        <f t="shared" si="4"/>
        <v>13.066299999999998</v>
      </c>
      <c r="D48" s="191"/>
      <c r="H48" s="192"/>
      <c r="I48" s="69"/>
      <c r="J48" s="69"/>
      <c r="K48" s="69"/>
      <c r="L48" s="69"/>
      <c r="M48" s="69"/>
      <c r="N48" s="70"/>
      <c r="O48" s="174"/>
      <c r="AC48" s="192">
        <v>125.4251</v>
      </c>
      <c r="AD48" s="69">
        <v>131.56549999999999</v>
      </c>
      <c r="AE48" s="69">
        <v>128.7397</v>
      </c>
      <c r="AF48" s="69"/>
      <c r="AG48" s="69"/>
      <c r="AH48" s="69"/>
      <c r="AI48" s="70">
        <f t="shared" si="7"/>
        <v>128.57676666666666</v>
      </c>
      <c r="AJ48" s="177">
        <f t="shared" si="8"/>
        <v>3.0734408231383421</v>
      </c>
    </row>
    <row r="49" spans="1:36" x14ac:dyDescent="0.25">
      <c r="A49" s="190">
        <v>23</v>
      </c>
      <c r="B49" s="69">
        <v>106.86920000000001</v>
      </c>
      <c r="C49" s="190">
        <f t="shared" si="4"/>
        <v>4.6864999999999952</v>
      </c>
      <c r="D49" s="191"/>
      <c r="H49" s="192"/>
      <c r="I49" s="69"/>
      <c r="J49" s="69"/>
      <c r="K49" s="69"/>
      <c r="L49" s="69"/>
      <c r="M49" s="69"/>
      <c r="N49" s="70"/>
      <c r="O49" s="174"/>
      <c r="AC49" s="192">
        <v>121.49250000000001</v>
      </c>
      <c r="AD49" s="69">
        <v>128.92509999999999</v>
      </c>
      <c r="AE49" s="69">
        <v>130.57679999999999</v>
      </c>
      <c r="AF49" s="69"/>
      <c r="AG49" s="69"/>
      <c r="AH49" s="69"/>
      <c r="AI49" s="70">
        <f t="shared" si="7"/>
        <v>126.99813333333333</v>
      </c>
      <c r="AJ49" s="177">
        <f t="shared" si="8"/>
        <v>4.8390109550747296</v>
      </c>
    </row>
    <row r="50" spans="1:36" x14ac:dyDescent="0.25">
      <c r="A50" s="190">
        <v>24</v>
      </c>
      <c r="B50" s="69">
        <v>125.6095</v>
      </c>
      <c r="C50" s="190">
        <f t="shared" si="4"/>
        <v>18.740299999999991</v>
      </c>
      <c r="D50" s="191"/>
      <c r="H50" s="192"/>
      <c r="I50" s="69"/>
      <c r="J50" s="69"/>
      <c r="K50" s="69"/>
      <c r="L50" s="69"/>
      <c r="M50" s="69"/>
      <c r="N50" s="70"/>
      <c r="O50" s="174"/>
      <c r="AC50" s="193">
        <v>125.8446</v>
      </c>
      <c r="AD50" s="120">
        <v>125.3164</v>
      </c>
      <c r="AE50" s="120">
        <v>127.6087</v>
      </c>
      <c r="AF50" s="120"/>
      <c r="AG50" s="120"/>
      <c r="AH50" s="120"/>
      <c r="AI50" s="70">
        <f t="shared" si="7"/>
        <v>126.25656666666667</v>
      </c>
      <c r="AJ50" s="177">
        <f t="shared" si="8"/>
        <v>1.2003946115062873</v>
      </c>
    </row>
    <row r="51" spans="1:36" x14ac:dyDescent="0.25">
      <c r="A51" s="190">
        <v>25</v>
      </c>
      <c r="B51" s="69">
        <v>118.6623</v>
      </c>
      <c r="C51" s="190">
        <f t="shared" si="4"/>
        <v>6.9471999999999952</v>
      </c>
      <c r="D51" s="191"/>
      <c r="H51" s="192"/>
      <c r="I51" s="69"/>
      <c r="J51" s="69"/>
      <c r="K51" s="69"/>
      <c r="L51" s="69"/>
      <c r="M51" s="69"/>
      <c r="N51" s="70"/>
      <c r="O51" s="174"/>
      <c r="AC51" s="193">
        <v>129.3449</v>
      </c>
      <c r="AD51" s="120">
        <v>128.9161</v>
      </c>
      <c r="AE51" s="120">
        <v>124.83799999999999</v>
      </c>
      <c r="AF51" s="120"/>
      <c r="AG51" s="120"/>
      <c r="AH51" s="120"/>
      <c r="AI51" s="70">
        <f t="shared" si="7"/>
        <v>127.69966666666664</v>
      </c>
      <c r="AJ51" s="177">
        <f t="shared" si="8"/>
        <v>2.4875328024637877</v>
      </c>
    </row>
    <row r="52" spans="1:36" x14ac:dyDescent="0.25">
      <c r="A52" s="190">
        <v>26</v>
      </c>
      <c r="B52" s="69">
        <v>130.5908</v>
      </c>
      <c r="C52" s="190">
        <f t="shared" si="4"/>
        <v>11.9285</v>
      </c>
      <c r="D52" s="191"/>
      <c r="H52" s="192"/>
      <c r="I52" s="69"/>
      <c r="J52" s="69"/>
      <c r="K52" s="69"/>
      <c r="L52" s="69"/>
      <c r="M52" s="69"/>
      <c r="N52" s="70"/>
      <c r="O52" s="174"/>
      <c r="AC52" s="193">
        <v>129.25700000000001</v>
      </c>
      <c r="AD52" s="120">
        <v>128.24270000000001</v>
      </c>
      <c r="AE52" s="120">
        <v>124.598</v>
      </c>
      <c r="AF52" s="120"/>
      <c r="AG52" s="120"/>
      <c r="AH52" s="120"/>
      <c r="AI52" s="70">
        <f t="shared" si="7"/>
        <v>127.36590000000001</v>
      </c>
      <c r="AJ52" s="177">
        <f t="shared" si="8"/>
        <v>2.4501334514674959</v>
      </c>
    </row>
    <row r="53" spans="1:36" x14ac:dyDescent="0.25">
      <c r="A53" s="190">
        <v>27</v>
      </c>
      <c r="B53" s="69">
        <v>122.7419</v>
      </c>
      <c r="C53" s="190">
        <f t="shared" si="4"/>
        <v>7.8489000000000004</v>
      </c>
      <c r="D53" s="191"/>
      <c r="H53" s="192"/>
      <c r="I53" s="69"/>
      <c r="J53" s="69"/>
      <c r="K53" s="69"/>
      <c r="L53" s="69"/>
      <c r="M53" s="69"/>
      <c r="N53" s="70"/>
      <c r="O53" s="174"/>
      <c r="AC53" s="193">
        <v>125.8635</v>
      </c>
      <c r="AD53" s="120">
        <v>127.8087</v>
      </c>
      <c r="AE53" s="120">
        <v>124.57729999999999</v>
      </c>
      <c r="AF53" s="120"/>
      <c r="AG53" s="120"/>
      <c r="AH53" s="120"/>
      <c r="AI53" s="70">
        <f t="shared" si="7"/>
        <v>126.08316666666667</v>
      </c>
      <c r="AJ53" s="177">
        <f t="shared" si="8"/>
        <v>1.626860956976147</v>
      </c>
    </row>
    <row r="54" spans="1:36" x14ac:dyDescent="0.25">
      <c r="A54" s="190">
        <v>28</v>
      </c>
      <c r="B54" s="69">
        <v>127.64830000000001</v>
      </c>
      <c r="C54" s="190">
        <f t="shared" si="4"/>
        <v>4.906400000000005</v>
      </c>
      <c r="D54" s="191"/>
      <c r="H54" s="192"/>
      <c r="I54" s="69"/>
      <c r="J54" s="69"/>
      <c r="K54" s="69"/>
      <c r="L54" s="69"/>
      <c r="M54" s="69"/>
      <c r="N54" s="70"/>
      <c r="O54" s="174"/>
      <c r="AC54" s="193"/>
      <c r="AD54" s="120"/>
      <c r="AE54" s="120"/>
      <c r="AF54" s="120"/>
      <c r="AG54" s="120"/>
      <c r="AH54" s="120"/>
      <c r="AI54" s="70"/>
      <c r="AJ54" s="177"/>
    </row>
    <row r="55" spans="1:36" x14ac:dyDescent="0.25">
      <c r="A55" s="190">
        <v>29</v>
      </c>
      <c r="B55" s="69">
        <v>121.4071</v>
      </c>
      <c r="C55" s="190">
        <f t="shared" si="4"/>
        <v>6.2412000000000063</v>
      </c>
      <c r="D55" s="191"/>
      <c r="H55" s="193"/>
      <c r="I55" s="120"/>
      <c r="J55" s="120"/>
      <c r="K55" s="120"/>
      <c r="L55" s="120"/>
      <c r="M55" s="120"/>
      <c r="N55" s="194"/>
      <c r="O55" s="195"/>
      <c r="AC55" s="193"/>
      <c r="AD55" s="120"/>
      <c r="AE55" s="120"/>
      <c r="AF55" s="120"/>
      <c r="AG55" s="120"/>
      <c r="AH55" s="120"/>
      <c r="AI55" s="70"/>
      <c r="AJ55" s="177"/>
    </row>
    <row r="56" spans="1:36" x14ac:dyDescent="0.25">
      <c r="A56" s="190">
        <v>30</v>
      </c>
      <c r="B56" s="69">
        <v>125.35599999999999</v>
      </c>
      <c r="C56" s="190">
        <f t="shared" si="4"/>
        <v>3.9488999999999947</v>
      </c>
      <c r="D56" s="191"/>
    </row>
    <row r="57" spans="1:36" x14ac:dyDescent="0.25">
      <c r="A57" s="190">
        <v>31</v>
      </c>
      <c r="B57" s="69"/>
      <c r="C57" s="190"/>
      <c r="D57" s="191"/>
    </row>
    <row r="58" spans="1:36" x14ac:dyDescent="0.25">
      <c r="A58" s="190">
        <v>32</v>
      </c>
      <c r="B58" s="69"/>
      <c r="C58" s="190"/>
      <c r="D58" s="191"/>
    </row>
    <row r="59" spans="1:36" x14ac:dyDescent="0.25">
      <c r="A59" s="190">
        <v>33</v>
      </c>
      <c r="B59" s="69"/>
      <c r="C59" s="190"/>
      <c r="D59" s="191"/>
    </row>
    <row r="60" spans="1:36" x14ac:dyDescent="0.25">
      <c r="A60" s="190">
        <v>34</v>
      </c>
      <c r="B60" s="69"/>
      <c r="C60" s="190"/>
      <c r="D60" s="191"/>
    </row>
    <row r="61" spans="1:36" x14ac:dyDescent="0.25">
      <c r="A61" s="190">
        <v>35</v>
      </c>
      <c r="B61" s="69"/>
      <c r="C61" s="190"/>
      <c r="D61" s="191"/>
    </row>
    <row r="62" spans="1:36" x14ac:dyDescent="0.25">
      <c r="A62" s="190">
        <v>36</v>
      </c>
      <c r="B62" s="69"/>
      <c r="C62" s="190"/>
      <c r="D62" s="191"/>
    </row>
    <row r="63" spans="1:36" x14ac:dyDescent="0.25">
      <c r="A63" s="190">
        <v>37</v>
      </c>
      <c r="B63" s="69"/>
      <c r="C63" s="190"/>
      <c r="D63" s="191"/>
    </row>
    <row r="64" spans="1:36" x14ac:dyDescent="0.25">
      <c r="A64" s="190">
        <v>38</v>
      </c>
      <c r="B64" s="69"/>
      <c r="C64" s="190"/>
      <c r="D64" s="191"/>
    </row>
    <row r="65" spans="1:4" x14ac:dyDescent="0.25">
      <c r="A65" s="190">
        <v>39</v>
      </c>
      <c r="B65" s="69"/>
      <c r="C65" s="190"/>
      <c r="D65" s="191"/>
    </row>
    <row r="66" spans="1:4" x14ac:dyDescent="0.25">
      <c r="A66" s="190">
        <v>40</v>
      </c>
      <c r="B66" s="69"/>
      <c r="C66" s="190"/>
      <c r="D66" s="191"/>
    </row>
    <row r="67" spans="1:4" x14ac:dyDescent="0.25">
      <c r="A67" s="190">
        <v>41</v>
      </c>
      <c r="B67" s="69"/>
      <c r="C67" s="190"/>
      <c r="D67" s="191"/>
    </row>
    <row r="68" spans="1:4" x14ac:dyDescent="0.25">
      <c r="A68" s="190">
        <v>42</v>
      </c>
      <c r="B68" s="69"/>
      <c r="C68" s="190"/>
      <c r="D68" s="191"/>
    </row>
    <row r="69" spans="1:4" x14ac:dyDescent="0.25">
      <c r="A69" s="190">
        <v>43</v>
      </c>
      <c r="B69" s="69"/>
      <c r="C69" s="190"/>
      <c r="D69" s="191"/>
    </row>
    <row r="70" spans="1:4" x14ac:dyDescent="0.25">
      <c r="A70" s="190">
        <v>44</v>
      </c>
      <c r="B70" s="69"/>
      <c r="C70" s="190"/>
      <c r="D70" s="191"/>
    </row>
    <row r="71" spans="1:4" x14ac:dyDescent="0.25">
      <c r="A71" s="190">
        <v>45</v>
      </c>
      <c r="B71" s="69"/>
      <c r="C71" s="190"/>
      <c r="D71" s="191"/>
    </row>
    <row r="72" spans="1:4" x14ac:dyDescent="0.25">
      <c r="A72" s="190">
        <v>46</v>
      </c>
      <c r="B72" s="69"/>
      <c r="C72" s="190"/>
      <c r="D72" s="191"/>
    </row>
    <row r="73" spans="1:4" x14ac:dyDescent="0.25">
      <c r="A73" s="190">
        <v>47</v>
      </c>
      <c r="B73" s="69"/>
      <c r="C73" s="190"/>
      <c r="D73" s="191"/>
    </row>
    <row r="74" spans="1:4" x14ac:dyDescent="0.25">
      <c r="A74" s="190">
        <v>48</v>
      </c>
      <c r="B74" s="69"/>
      <c r="C74" s="190"/>
      <c r="D74" s="191"/>
    </row>
    <row r="75" spans="1:4" x14ac:dyDescent="0.25">
      <c r="A75" s="190">
        <v>49</v>
      </c>
      <c r="B75" s="69"/>
      <c r="C75" s="190"/>
      <c r="D75" s="191"/>
    </row>
    <row r="76" spans="1:4" x14ac:dyDescent="0.25">
      <c r="A76" s="190">
        <v>50</v>
      </c>
      <c r="B76" s="69"/>
      <c r="C76" s="190"/>
      <c r="D76" s="191"/>
    </row>
    <row r="77" spans="1:4" x14ac:dyDescent="0.25">
      <c r="A77" s="190">
        <v>51</v>
      </c>
      <c r="B77" s="69"/>
      <c r="C77" s="190"/>
      <c r="D77" s="191"/>
    </row>
    <row r="78" spans="1:4" x14ac:dyDescent="0.25">
      <c r="A78" s="190">
        <v>52</v>
      </c>
      <c r="B78" s="69"/>
      <c r="C78" s="190"/>
      <c r="D78" s="191"/>
    </row>
    <row r="79" spans="1:4" x14ac:dyDescent="0.25">
      <c r="A79" s="190">
        <v>53</v>
      </c>
      <c r="B79" s="69"/>
      <c r="C79" s="190"/>
      <c r="D79" s="191"/>
    </row>
    <row r="80" spans="1:4" x14ac:dyDescent="0.25">
      <c r="A80" s="190">
        <v>54</v>
      </c>
      <c r="B80" s="69"/>
      <c r="C80" s="190"/>
      <c r="D80" s="191"/>
    </row>
    <row r="81" spans="1:4" x14ac:dyDescent="0.25">
      <c r="A81" s="190">
        <v>55</v>
      </c>
      <c r="B81" s="69"/>
      <c r="C81" s="190"/>
      <c r="D81" s="191"/>
    </row>
    <row r="82" spans="1:4" x14ac:dyDescent="0.25">
      <c r="A82" s="190">
        <v>56</v>
      </c>
      <c r="B82" s="69"/>
      <c r="C82" s="190"/>
      <c r="D82" s="191"/>
    </row>
    <row r="83" spans="1:4" x14ac:dyDescent="0.25">
      <c r="A83" s="190">
        <v>57</v>
      </c>
      <c r="B83" s="69"/>
      <c r="C83" s="190"/>
      <c r="D83" s="191"/>
    </row>
    <row r="84" spans="1:4" x14ac:dyDescent="0.25">
      <c r="A84" s="190">
        <v>58</v>
      </c>
      <c r="B84" s="69"/>
      <c r="C84" s="190"/>
      <c r="D84" s="191"/>
    </row>
    <row r="85" spans="1:4" x14ac:dyDescent="0.25">
      <c r="A85" s="190">
        <v>59</v>
      </c>
      <c r="B85" s="69"/>
      <c r="C85" s="190"/>
      <c r="D85" s="191"/>
    </row>
    <row r="86" spans="1:4" x14ac:dyDescent="0.25">
      <c r="A86" s="190">
        <v>60</v>
      </c>
      <c r="B86" s="69"/>
      <c r="C86" s="190"/>
      <c r="D86" s="191"/>
    </row>
    <row r="87" spans="1:4" x14ac:dyDescent="0.25">
      <c r="A87" s="190">
        <v>61</v>
      </c>
      <c r="B87" s="69"/>
      <c r="C87" s="190"/>
      <c r="D87" s="191"/>
    </row>
    <row r="88" spans="1:4" x14ac:dyDescent="0.25">
      <c r="A88" s="190">
        <v>62</v>
      </c>
      <c r="B88" s="69"/>
      <c r="C88" s="190"/>
      <c r="D88" s="191"/>
    </row>
    <row r="89" spans="1:4" x14ac:dyDescent="0.25">
      <c r="A89" s="190">
        <v>63</v>
      </c>
      <c r="B89" s="69"/>
      <c r="C89" s="190"/>
      <c r="D89" s="191"/>
    </row>
    <row r="90" spans="1:4" x14ac:dyDescent="0.25">
      <c r="A90" s="190">
        <v>64</v>
      </c>
      <c r="B90" s="69"/>
      <c r="C90" s="190"/>
      <c r="D90" s="191"/>
    </row>
    <row r="91" spans="1:4" x14ac:dyDescent="0.25">
      <c r="A91" s="190">
        <v>65</v>
      </c>
      <c r="B91" s="69"/>
      <c r="C91" s="190"/>
      <c r="D91" s="191"/>
    </row>
    <row r="92" spans="1:4" x14ac:dyDescent="0.25">
      <c r="A92" s="190">
        <v>66</v>
      </c>
      <c r="B92" s="69"/>
      <c r="C92" s="190"/>
      <c r="D92" s="191"/>
    </row>
    <row r="93" spans="1:4" x14ac:dyDescent="0.25">
      <c r="A93" s="190">
        <v>67</v>
      </c>
      <c r="B93" s="69"/>
      <c r="C93" s="190"/>
      <c r="D93" s="191"/>
    </row>
    <row r="94" spans="1:4" x14ac:dyDescent="0.25">
      <c r="A94" s="190">
        <v>68</v>
      </c>
      <c r="B94" s="69"/>
      <c r="C94" s="190"/>
      <c r="D94" s="191"/>
    </row>
    <row r="95" spans="1:4" x14ac:dyDescent="0.25">
      <c r="A95" s="190">
        <v>69</v>
      </c>
      <c r="B95" s="69"/>
      <c r="C95" s="190"/>
      <c r="D95" s="191"/>
    </row>
    <row r="96" spans="1:4" x14ac:dyDescent="0.25">
      <c r="A96" s="190">
        <v>70</v>
      </c>
      <c r="B96" s="69"/>
      <c r="C96" s="190"/>
      <c r="D96" s="191"/>
    </row>
    <row r="97" spans="1:4" x14ac:dyDescent="0.25">
      <c r="A97" s="190">
        <v>71</v>
      </c>
      <c r="B97" s="69"/>
      <c r="C97" s="190"/>
      <c r="D97" s="191"/>
    </row>
    <row r="98" spans="1:4" x14ac:dyDescent="0.25">
      <c r="A98" s="190">
        <v>72</v>
      </c>
      <c r="B98" s="69"/>
      <c r="C98" s="190"/>
      <c r="D98" s="191"/>
    </row>
    <row r="99" spans="1:4" x14ac:dyDescent="0.25">
      <c r="A99" s="190">
        <v>73</v>
      </c>
      <c r="B99" s="69"/>
      <c r="C99" s="190"/>
      <c r="D99" s="191"/>
    </row>
    <row r="100" spans="1:4" x14ac:dyDescent="0.25">
      <c r="A100" s="190">
        <v>74</v>
      </c>
      <c r="B100" s="69"/>
      <c r="C100" s="190"/>
      <c r="D100" s="191"/>
    </row>
    <row r="101" spans="1:4" x14ac:dyDescent="0.25">
      <c r="A101" s="190">
        <v>75</v>
      </c>
      <c r="B101" s="69"/>
      <c r="C101" s="190"/>
      <c r="D101" s="191"/>
    </row>
    <row r="102" spans="1:4" x14ac:dyDescent="0.25">
      <c r="A102" s="190">
        <v>76</v>
      </c>
      <c r="B102" s="69"/>
      <c r="C102" s="190"/>
      <c r="D102" s="191"/>
    </row>
    <row r="103" spans="1:4" x14ac:dyDescent="0.25">
      <c r="A103" s="190">
        <v>77</v>
      </c>
      <c r="B103" s="69"/>
      <c r="C103" s="190"/>
      <c r="D103" s="191"/>
    </row>
    <row r="104" spans="1:4" x14ac:dyDescent="0.25">
      <c r="A104" s="190">
        <v>78</v>
      </c>
      <c r="B104" s="69"/>
      <c r="C104" s="190"/>
      <c r="D104" s="191"/>
    </row>
    <row r="105" spans="1:4" x14ac:dyDescent="0.25">
      <c r="A105" s="190">
        <v>79</v>
      </c>
      <c r="B105" s="69"/>
      <c r="C105" s="190"/>
      <c r="D105" s="191"/>
    </row>
    <row r="106" spans="1:4" x14ac:dyDescent="0.25">
      <c r="A106" s="190">
        <v>80</v>
      </c>
      <c r="B106" s="69"/>
      <c r="C106" s="190"/>
      <c r="D106" s="191"/>
    </row>
    <row r="107" spans="1:4" x14ac:dyDescent="0.25">
      <c r="A107" s="190">
        <v>81</v>
      </c>
      <c r="B107" s="69"/>
      <c r="C107" s="190"/>
      <c r="D107" s="191"/>
    </row>
    <row r="108" spans="1:4" x14ac:dyDescent="0.25">
      <c r="A108" s="190">
        <v>82</v>
      </c>
      <c r="B108" s="69"/>
      <c r="C108" s="190"/>
      <c r="D108" s="191"/>
    </row>
    <row r="109" spans="1:4" x14ac:dyDescent="0.25">
      <c r="A109" s="190">
        <v>83</v>
      </c>
      <c r="B109" s="69"/>
      <c r="C109" s="190"/>
      <c r="D109" s="191"/>
    </row>
    <row r="110" spans="1:4" x14ac:dyDescent="0.25">
      <c r="A110" s="190">
        <v>84</v>
      </c>
      <c r="B110" s="69"/>
      <c r="C110" s="190"/>
      <c r="D110" s="191"/>
    </row>
    <row r="111" spans="1:4" x14ac:dyDescent="0.25">
      <c r="A111" s="190">
        <v>85</v>
      </c>
      <c r="B111" s="69"/>
      <c r="C111" s="190"/>
      <c r="D111" s="191"/>
    </row>
    <row r="112" spans="1:4" x14ac:dyDescent="0.25">
      <c r="A112" s="190">
        <v>86</v>
      </c>
      <c r="B112" s="69"/>
      <c r="C112" s="190"/>
      <c r="D112" s="191"/>
    </row>
    <row r="113" spans="1:4" x14ac:dyDescent="0.25">
      <c r="A113" s="190">
        <v>87</v>
      </c>
      <c r="B113" s="69"/>
      <c r="C113" s="190"/>
      <c r="D113" s="191"/>
    </row>
    <row r="114" spans="1:4" x14ac:dyDescent="0.25">
      <c r="A114" s="190">
        <v>88</v>
      </c>
      <c r="B114" s="69"/>
      <c r="C114" s="190"/>
      <c r="D114" s="191"/>
    </row>
    <row r="115" spans="1:4" x14ac:dyDescent="0.25">
      <c r="A115" s="190">
        <v>89</v>
      </c>
      <c r="B115" s="69"/>
      <c r="C115" s="190"/>
      <c r="D115" s="191"/>
    </row>
    <row r="116" spans="1:4" x14ac:dyDescent="0.25">
      <c r="A116" s="190">
        <v>90</v>
      </c>
      <c r="B116" s="69"/>
      <c r="C116" s="190"/>
      <c r="D116" s="191"/>
    </row>
    <row r="117" spans="1:4" x14ac:dyDescent="0.25">
      <c r="A117" s="190">
        <v>91</v>
      </c>
      <c r="B117" s="69"/>
      <c r="C117" s="190"/>
      <c r="D117" s="191"/>
    </row>
    <row r="118" spans="1:4" x14ac:dyDescent="0.25">
      <c r="A118" s="190">
        <v>92</v>
      </c>
      <c r="B118" s="69"/>
      <c r="C118" s="190"/>
      <c r="D118" s="191"/>
    </row>
    <row r="119" spans="1:4" x14ac:dyDescent="0.25">
      <c r="A119" s="190">
        <v>93</v>
      </c>
      <c r="B119" s="69"/>
      <c r="C119" s="190"/>
      <c r="D119" s="191"/>
    </row>
    <row r="120" spans="1:4" x14ac:dyDescent="0.25">
      <c r="A120" s="190">
        <v>94</v>
      </c>
      <c r="B120" s="69"/>
      <c r="C120" s="190"/>
      <c r="D120" s="191"/>
    </row>
    <row r="121" spans="1:4" x14ac:dyDescent="0.25">
      <c r="A121" s="190">
        <v>95</v>
      </c>
      <c r="B121" s="69"/>
      <c r="C121" s="190"/>
      <c r="D121" s="191"/>
    </row>
    <row r="122" spans="1:4" x14ac:dyDescent="0.25">
      <c r="A122" s="190">
        <v>96</v>
      </c>
      <c r="B122" s="69"/>
      <c r="C122" s="190"/>
      <c r="D122" s="191"/>
    </row>
    <row r="123" spans="1:4" x14ac:dyDescent="0.25">
      <c r="A123" s="190">
        <v>97</v>
      </c>
      <c r="B123" s="69"/>
      <c r="C123" s="190"/>
      <c r="D123" s="191"/>
    </row>
    <row r="124" spans="1:4" x14ac:dyDescent="0.25">
      <c r="A124" s="190">
        <v>98</v>
      </c>
      <c r="B124" s="69"/>
      <c r="C124" s="190"/>
      <c r="D124" s="191"/>
    </row>
    <row r="125" spans="1:4" x14ac:dyDescent="0.25">
      <c r="A125" s="190">
        <v>99</v>
      </c>
      <c r="B125" s="69"/>
      <c r="C125" s="190"/>
      <c r="D125" s="191"/>
    </row>
    <row r="126" spans="1:4" x14ac:dyDescent="0.25">
      <c r="A126" s="190">
        <v>100</v>
      </c>
      <c r="B126" s="69"/>
      <c r="C126" s="190"/>
      <c r="D126" s="191"/>
    </row>
    <row r="127" spans="1:4" x14ac:dyDescent="0.25">
      <c r="A127" s="190">
        <v>101</v>
      </c>
      <c r="B127" s="69"/>
      <c r="C127" s="190"/>
      <c r="D127" s="191"/>
    </row>
    <row r="128" spans="1:4" x14ac:dyDescent="0.25">
      <c r="A128" s="190">
        <v>102</v>
      </c>
      <c r="B128" s="69"/>
      <c r="C128" s="190"/>
      <c r="D128" s="191"/>
    </row>
    <row r="129" spans="1:4" x14ac:dyDescent="0.25">
      <c r="A129" s="190">
        <v>103</v>
      </c>
      <c r="B129" s="69"/>
      <c r="C129" s="190"/>
      <c r="D129" s="191"/>
    </row>
    <row r="130" spans="1:4" x14ac:dyDescent="0.25">
      <c r="A130" s="190">
        <v>104</v>
      </c>
      <c r="B130" s="69"/>
      <c r="C130" s="190"/>
      <c r="D130" s="191"/>
    </row>
    <row r="131" spans="1:4" x14ac:dyDescent="0.25">
      <c r="A131" s="190">
        <v>105</v>
      </c>
      <c r="B131" s="69"/>
      <c r="C131" s="190"/>
      <c r="D131" s="191"/>
    </row>
    <row r="132" spans="1:4" x14ac:dyDescent="0.25">
      <c r="A132" s="190">
        <v>106</v>
      </c>
      <c r="B132" s="69"/>
      <c r="C132" s="190"/>
      <c r="D132" s="191"/>
    </row>
    <row r="133" spans="1:4" x14ac:dyDescent="0.25">
      <c r="A133" s="190">
        <v>107</v>
      </c>
      <c r="B133" s="69"/>
      <c r="C133" s="190"/>
      <c r="D133" s="191"/>
    </row>
    <row r="134" spans="1:4" x14ac:dyDescent="0.25">
      <c r="A134" s="190">
        <v>108</v>
      </c>
      <c r="B134" s="69"/>
      <c r="C134" s="190"/>
      <c r="D134" s="191"/>
    </row>
    <row r="135" spans="1:4" x14ac:dyDescent="0.25">
      <c r="A135" s="190">
        <v>109</v>
      </c>
      <c r="B135" s="69"/>
      <c r="C135" s="190"/>
      <c r="D135" s="191"/>
    </row>
    <row r="136" spans="1:4" x14ac:dyDescent="0.25">
      <c r="A136" s="190">
        <v>110</v>
      </c>
      <c r="B136" s="69"/>
      <c r="C136" s="190"/>
      <c r="D136" s="191"/>
    </row>
    <row r="137" spans="1:4" x14ac:dyDescent="0.25">
      <c r="A137" s="190">
        <v>111</v>
      </c>
      <c r="B137" s="69"/>
      <c r="C137" s="190"/>
      <c r="D137" s="191"/>
    </row>
    <row r="138" spans="1:4" x14ac:dyDescent="0.25">
      <c r="A138" s="190">
        <v>112</v>
      </c>
      <c r="B138" s="69"/>
      <c r="C138" s="190"/>
      <c r="D138" s="191"/>
    </row>
    <row r="139" spans="1:4" x14ac:dyDescent="0.25">
      <c r="A139" s="190">
        <v>113</v>
      </c>
      <c r="B139" s="69"/>
      <c r="C139" s="190"/>
      <c r="D139" s="191"/>
    </row>
    <row r="140" spans="1:4" x14ac:dyDescent="0.25">
      <c r="A140" s="190">
        <v>114</v>
      </c>
      <c r="B140" s="69"/>
      <c r="C140" s="190"/>
      <c r="D140" s="191"/>
    </row>
    <row r="141" spans="1:4" x14ac:dyDescent="0.25">
      <c r="A141" s="190">
        <v>115</v>
      </c>
      <c r="B141" s="69"/>
      <c r="C141" s="190"/>
      <c r="D141" s="191"/>
    </row>
    <row r="142" spans="1:4" x14ac:dyDescent="0.25">
      <c r="A142" s="190">
        <v>116</v>
      </c>
      <c r="B142" s="69"/>
      <c r="C142" s="190"/>
      <c r="D142" s="191"/>
    </row>
    <row r="143" spans="1:4" x14ac:dyDescent="0.25">
      <c r="A143" s="190">
        <v>117</v>
      </c>
      <c r="B143" s="69"/>
      <c r="C143" s="190"/>
      <c r="D143" s="191"/>
    </row>
    <row r="144" spans="1:4" x14ac:dyDescent="0.25">
      <c r="A144" s="190">
        <v>118</v>
      </c>
      <c r="B144" s="69"/>
      <c r="C144" s="190"/>
      <c r="D144" s="191"/>
    </row>
    <row r="145" spans="1:4" x14ac:dyDescent="0.25">
      <c r="A145" s="190">
        <v>119</v>
      </c>
      <c r="B145" s="69"/>
      <c r="C145" s="190"/>
      <c r="D145" s="191"/>
    </row>
    <row r="146" spans="1:4" x14ac:dyDescent="0.25">
      <c r="A146" s="190">
        <v>120</v>
      </c>
      <c r="B146" s="69"/>
      <c r="C146" s="190"/>
      <c r="D146" s="191"/>
    </row>
    <row r="147" spans="1:4" x14ac:dyDescent="0.25">
      <c r="A147" s="70"/>
      <c r="B147" s="69"/>
      <c r="C147" s="190"/>
      <c r="D147" s="191"/>
    </row>
  </sheetData>
  <mergeCells count="2">
    <mergeCell ref="G4:K4"/>
    <mergeCell ref="AB4:AE4"/>
  </mergeCells>
  <pageMargins left="0.75" right="0.75" top="1" bottom="1" header="0.51180555555555562" footer="0.51180555555555562"/>
  <pageSetup firstPageNumber="0" orientation="portrait" horizontalDpi="300" verticalDpi="300"/>
  <headerFooter alignWithMargins="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S50"/>
  <sheetViews>
    <sheetView showGridLines="0" zoomScale="85" zoomScaleNormal="85" workbookViewId="0">
      <selection activeCell="B31" sqref="B31"/>
    </sheetView>
  </sheetViews>
  <sheetFormatPr defaultRowHeight="12.5" x14ac:dyDescent="0.25"/>
  <cols>
    <col min="1" max="1" width="24" customWidth="1"/>
    <col min="4" max="8" width="12.26953125" customWidth="1"/>
  </cols>
  <sheetData>
    <row r="2" spans="1:19" ht="23" x14ac:dyDescent="0.5">
      <c r="A2" s="196" t="s">
        <v>277</v>
      </c>
      <c r="B2" s="19"/>
      <c r="C2" s="19"/>
      <c r="D2" s="19"/>
    </row>
    <row r="4" spans="1:19" ht="18" x14ac:dyDescent="0.25">
      <c r="D4" s="129" t="s">
        <v>280</v>
      </c>
      <c r="E4" s="129" t="s">
        <v>281</v>
      </c>
      <c r="F4" s="129" t="s">
        <v>282</v>
      </c>
      <c r="G4" s="129" t="s">
        <v>283</v>
      </c>
      <c r="H4" s="129"/>
      <c r="I4" s="156" t="s">
        <v>285</v>
      </c>
      <c r="J4" s="156" t="s">
        <v>286</v>
      </c>
      <c r="L4" s="169" t="s">
        <v>287</v>
      </c>
      <c r="M4" s="170" t="s">
        <v>288</v>
      </c>
      <c r="N4" s="170" t="s">
        <v>289</v>
      </c>
      <c r="O4" s="170" t="s">
        <v>290</v>
      </c>
      <c r="P4" s="170" t="s">
        <v>291</v>
      </c>
      <c r="Q4" s="170" t="s">
        <v>292</v>
      </c>
      <c r="R4" s="170" t="s">
        <v>293</v>
      </c>
      <c r="S4" s="170" t="s">
        <v>294</v>
      </c>
    </row>
    <row r="5" spans="1:19" ht="15.5" x14ac:dyDescent="0.25">
      <c r="A5" s="16" t="s">
        <v>297</v>
      </c>
      <c r="B5" s="135">
        <f>AVERAGE(I5:I34)</f>
        <v>133.42440916666666</v>
      </c>
      <c r="D5" s="129">
        <v>148.89789999999999</v>
      </c>
      <c r="E5" s="129">
        <v>137.08629999999999</v>
      </c>
      <c r="F5" s="129">
        <v>113.407</v>
      </c>
      <c r="G5" s="129">
        <v>135.4701</v>
      </c>
      <c r="H5" s="129"/>
      <c r="I5" s="156">
        <f>AVERAGE(D5:H5)</f>
        <v>133.71532500000001</v>
      </c>
      <c r="J5" s="156">
        <f>MAX(D5:H5)-MIN(D5:H5)</f>
        <v>35.490899999999996</v>
      </c>
      <c r="L5" s="175">
        <v>2</v>
      </c>
      <c r="M5" s="175">
        <v>1.88</v>
      </c>
      <c r="N5" s="175">
        <v>2.6589999999999998</v>
      </c>
      <c r="O5" s="175">
        <v>0</v>
      </c>
      <c r="P5" s="175">
        <v>3.2669999999999999</v>
      </c>
      <c r="Q5" s="175">
        <v>1.1279999999999999</v>
      </c>
      <c r="R5" s="175">
        <v>0</v>
      </c>
      <c r="S5" s="175">
        <v>3.2669999999999999</v>
      </c>
    </row>
    <row r="6" spans="1:19" ht="15.5" x14ac:dyDescent="0.25">
      <c r="A6" s="16" t="s">
        <v>299</v>
      </c>
      <c r="B6" s="135">
        <f>AVERAGE(J5:J34)</f>
        <v>26.569673333333334</v>
      </c>
      <c r="D6" s="129">
        <v>141.05609999999999</v>
      </c>
      <c r="E6" s="129">
        <v>134.7312</v>
      </c>
      <c r="F6" s="129">
        <v>127.7436</v>
      </c>
      <c r="G6" s="129">
        <v>133.7936</v>
      </c>
      <c r="H6" s="129"/>
      <c r="I6" s="156">
        <f t="shared" ref="I6:I38" si="0">AVERAGE(D6:H6)</f>
        <v>134.33112499999999</v>
      </c>
      <c r="J6" s="156">
        <f t="shared" ref="J6:J38" si="1">MAX(D6:H6)-MIN(D6:H6)</f>
        <v>13.312499999999986</v>
      </c>
      <c r="L6" s="175">
        <v>3</v>
      </c>
      <c r="M6" s="175">
        <v>1.0229999999999999</v>
      </c>
      <c r="N6" s="175">
        <v>1.954</v>
      </c>
      <c r="O6" s="175">
        <v>0</v>
      </c>
      <c r="P6" s="175">
        <v>2.5739999999999998</v>
      </c>
      <c r="Q6" s="175">
        <v>1.6930000000000001</v>
      </c>
      <c r="R6" s="175">
        <v>0</v>
      </c>
      <c r="S6" s="175">
        <v>2.5680000000000001</v>
      </c>
    </row>
    <row r="7" spans="1:19" ht="15.5" x14ac:dyDescent="0.25">
      <c r="A7" s="16" t="s">
        <v>296</v>
      </c>
      <c r="B7" s="74">
        <v>4</v>
      </c>
      <c r="D7" s="129">
        <v>131.44210000000001</v>
      </c>
      <c r="E7" s="129">
        <v>141.49889999999999</v>
      </c>
      <c r="F7" s="129">
        <v>125.5256</v>
      </c>
      <c r="G7" s="129">
        <v>131.35570000000001</v>
      </c>
      <c r="H7" s="129"/>
      <c r="I7" s="156">
        <f t="shared" si="0"/>
        <v>132.45557500000001</v>
      </c>
      <c r="J7" s="156">
        <f t="shared" si="1"/>
        <v>15.973299999999995</v>
      </c>
      <c r="L7" s="175">
        <v>4</v>
      </c>
      <c r="M7" s="175">
        <v>0.72899999999999998</v>
      </c>
      <c r="N7" s="175">
        <v>1.6279999999999999</v>
      </c>
      <c r="O7" s="175">
        <v>0</v>
      </c>
      <c r="P7" s="175">
        <v>2.282</v>
      </c>
      <c r="Q7" s="175">
        <v>2.0590000000000002</v>
      </c>
      <c r="R7" s="175">
        <v>0</v>
      </c>
      <c r="S7" s="175">
        <v>2.266</v>
      </c>
    </row>
    <row r="8" spans="1:19" ht="15.5" x14ac:dyDescent="0.25">
      <c r="A8" s="16" t="s">
        <v>302</v>
      </c>
      <c r="B8" s="135">
        <f>VLOOKUP(B7,L5:S13,2,FALSE)</f>
        <v>0.72899999999999998</v>
      </c>
      <c r="D8" s="129">
        <v>128.40610000000001</v>
      </c>
      <c r="E8" s="129">
        <v>129.07249999999999</v>
      </c>
      <c r="F8" s="129">
        <v>160.69560000000001</v>
      </c>
      <c r="G8" s="129">
        <v>131.32929999999999</v>
      </c>
      <c r="H8" s="129"/>
      <c r="I8" s="156">
        <f t="shared" si="0"/>
        <v>137.37587500000001</v>
      </c>
      <c r="J8" s="156">
        <f t="shared" si="1"/>
        <v>32.289500000000004</v>
      </c>
      <c r="L8" s="175">
        <v>5</v>
      </c>
      <c r="M8" s="175">
        <v>0.57699999999999996</v>
      </c>
      <c r="N8" s="175">
        <v>1.427</v>
      </c>
      <c r="O8" s="175">
        <v>0</v>
      </c>
      <c r="P8" s="175">
        <v>2.1150000000000002</v>
      </c>
      <c r="Q8" s="175">
        <v>2.3260000000000001</v>
      </c>
      <c r="R8" s="175">
        <v>0</v>
      </c>
      <c r="S8" s="175">
        <v>2.089</v>
      </c>
    </row>
    <row r="9" spans="1:19" ht="15.5" x14ac:dyDescent="0.25">
      <c r="A9" s="16" t="s">
        <v>305</v>
      </c>
      <c r="B9" s="135">
        <f>VLOOKUP(B7,L5:S13,4,FALSE)</f>
        <v>0</v>
      </c>
      <c r="D9" s="129">
        <v>134.38560000000001</v>
      </c>
      <c r="E9" s="129">
        <v>135.75659999999999</v>
      </c>
      <c r="F9" s="129">
        <v>124.7706</v>
      </c>
      <c r="G9" s="129">
        <v>134.9657</v>
      </c>
      <c r="H9" s="129"/>
      <c r="I9" s="156">
        <f t="shared" si="0"/>
        <v>132.46962500000001</v>
      </c>
      <c r="J9" s="156">
        <f t="shared" si="1"/>
        <v>10.98599999999999</v>
      </c>
      <c r="L9" s="175">
        <v>6</v>
      </c>
      <c r="M9" s="175">
        <v>0.48299999999999998</v>
      </c>
      <c r="N9" s="175">
        <v>1.2869999999999999</v>
      </c>
      <c r="O9" s="175">
        <v>0</v>
      </c>
      <c r="P9" s="175">
        <v>2.004</v>
      </c>
      <c r="Q9" s="175">
        <v>2.5339999999999998</v>
      </c>
      <c r="R9" s="175">
        <v>0.03</v>
      </c>
      <c r="S9" s="175">
        <v>1.97</v>
      </c>
    </row>
    <row r="10" spans="1:19" ht="15.5" x14ac:dyDescent="0.25">
      <c r="A10" s="16" t="s">
        <v>308</v>
      </c>
      <c r="B10" s="135">
        <f>VLOOKUP(B7,L5:S13,5,FALSE)</f>
        <v>2.282</v>
      </c>
      <c r="D10" s="129">
        <v>120.9114</v>
      </c>
      <c r="E10" s="129">
        <v>144.17099999999999</v>
      </c>
      <c r="F10" s="129">
        <v>130.32380000000001</v>
      </c>
      <c r="G10" s="129">
        <v>163.04490000000001</v>
      </c>
      <c r="H10" s="129"/>
      <c r="I10" s="156">
        <f t="shared" si="0"/>
        <v>139.612775</v>
      </c>
      <c r="J10" s="156">
        <f t="shared" si="1"/>
        <v>42.133500000000012</v>
      </c>
      <c r="L10" s="175">
        <v>7</v>
      </c>
      <c r="M10" s="175">
        <v>0.41899999999999998</v>
      </c>
      <c r="N10" s="175">
        <v>1.1819999999999999</v>
      </c>
      <c r="O10" s="175">
        <v>7.5999999999999998E-2</v>
      </c>
      <c r="P10" s="175">
        <v>1.9239999999999999</v>
      </c>
      <c r="Q10" s="175">
        <v>2.7040000000000002</v>
      </c>
      <c r="R10" s="175">
        <v>0.11799999999999999</v>
      </c>
      <c r="S10" s="175">
        <v>1.8819999999999999</v>
      </c>
    </row>
    <row r="11" spans="1:19" ht="15.5" x14ac:dyDescent="0.25">
      <c r="A11" s="16" t="s">
        <v>311</v>
      </c>
      <c r="B11" s="135">
        <f>+B5-B8*B6</f>
        <v>114.05511730666666</v>
      </c>
      <c r="D11" s="129">
        <v>123.1337</v>
      </c>
      <c r="E11" s="129">
        <v>130.5729</v>
      </c>
      <c r="F11" s="129">
        <v>150.4229</v>
      </c>
      <c r="G11" s="129">
        <v>142.36529999999999</v>
      </c>
      <c r="H11" s="129"/>
      <c r="I11" s="156">
        <f t="shared" si="0"/>
        <v>136.62369999999999</v>
      </c>
      <c r="J11" s="156">
        <f t="shared" si="1"/>
        <v>27.289199999999994</v>
      </c>
      <c r="L11" s="175">
        <v>8</v>
      </c>
      <c r="M11" s="175">
        <v>0.373</v>
      </c>
      <c r="N11" s="175">
        <v>1.099</v>
      </c>
      <c r="O11" s="175">
        <v>0.13600000000000001</v>
      </c>
      <c r="P11" s="175">
        <v>1.8640000000000001</v>
      </c>
      <c r="Q11" s="175">
        <v>2.847</v>
      </c>
      <c r="R11" s="175">
        <v>0.185</v>
      </c>
      <c r="S11" s="175">
        <v>1815</v>
      </c>
    </row>
    <row r="12" spans="1:19" ht="15.5" x14ac:dyDescent="0.25">
      <c r="A12" s="16" t="s">
        <v>313</v>
      </c>
      <c r="B12" s="135">
        <f>+B5+B8*B6</f>
        <v>152.79370102666667</v>
      </c>
      <c r="D12" s="129">
        <v>146.80619999999999</v>
      </c>
      <c r="E12" s="129">
        <v>126.1433</v>
      </c>
      <c r="F12" s="129">
        <v>124.2343</v>
      </c>
      <c r="G12" s="129">
        <v>132.40309999999999</v>
      </c>
      <c r="H12" s="129"/>
      <c r="I12" s="156">
        <f t="shared" si="0"/>
        <v>132.396725</v>
      </c>
      <c r="J12" s="156">
        <f t="shared" si="1"/>
        <v>22.571899999999985</v>
      </c>
      <c r="L12" s="175">
        <v>9</v>
      </c>
      <c r="M12" s="175">
        <v>0.33700000000000002</v>
      </c>
      <c r="N12" s="175">
        <v>1.032</v>
      </c>
      <c r="O12" s="175">
        <v>0.184</v>
      </c>
      <c r="P12" s="175">
        <v>1.8160000000000001</v>
      </c>
      <c r="Q12" s="175">
        <v>2.97</v>
      </c>
      <c r="R12" s="175">
        <v>0.23899999999999999</v>
      </c>
      <c r="S12" s="175">
        <v>1.7609999999999999</v>
      </c>
    </row>
    <row r="13" spans="1:19" ht="15.5" x14ac:dyDescent="0.25">
      <c r="A13" s="16" t="s">
        <v>314</v>
      </c>
      <c r="B13" s="135">
        <f>+B6*B9</f>
        <v>0</v>
      </c>
      <c r="D13" s="129">
        <v>117.6789</v>
      </c>
      <c r="E13" s="129">
        <v>118.02200000000001</v>
      </c>
      <c r="F13" s="129">
        <v>145.81620000000001</v>
      </c>
      <c r="G13" s="129">
        <v>129.17670000000001</v>
      </c>
      <c r="H13" s="129"/>
      <c r="I13" s="156">
        <f t="shared" si="0"/>
        <v>127.67345</v>
      </c>
      <c r="J13" s="156">
        <f t="shared" si="1"/>
        <v>28.13730000000001</v>
      </c>
      <c r="L13" s="175">
        <v>10</v>
      </c>
      <c r="M13" s="175">
        <v>0.308</v>
      </c>
      <c r="N13" s="175">
        <v>0.97499999999999998</v>
      </c>
      <c r="O13" s="175">
        <v>0.223</v>
      </c>
      <c r="P13" s="175">
        <v>1.7769999999999999</v>
      </c>
      <c r="Q13" s="175">
        <v>3.0779999999999998</v>
      </c>
      <c r="R13" s="175">
        <v>0.28399999999999997</v>
      </c>
      <c r="S13" s="175">
        <v>1.716</v>
      </c>
    </row>
    <row r="14" spans="1:19" x14ac:dyDescent="0.25">
      <c r="A14" s="16" t="s">
        <v>316</v>
      </c>
      <c r="B14" s="135">
        <f>+B6*B10</f>
        <v>60.631994546666668</v>
      </c>
      <c r="D14" s="129">
        <v>134.04939999999999</v>
      </c>
      <c r="E14" s="129">
        <v>147.77019999999999</v>
      </c>
      <c r="F14" s="129">
        <v>119.3058</v>
      </c>
      <c r="G14" s="129">
        <v>153.74189999999999</v>
      </c>
      <c r="H14" s="129"/>
      <c r="I14" s="156">
        <f t="shared" si="0"/>
        <v>138.716825</v>
      </c>
      <c r="J14" s="156">
        <f t="shared" si="1"/>
        <v>34.436099999999982</v>
      </c>
    </row>
    <row r="15" spans="1:19" x14ac:dyDescent="0.25">
      <c r="A15" s="16"/>
      <c r="B15" s="25"/>
      <c r="D15" s="129">
        <v>140.78970000000001</v>
      </c>
      <c r="E15" s="129">
        <v>146.23560000000001</v>
      </c>
      <c r="F15" s="129">
        <v>145.23009999999999</v>
      </c>
      <c r="G15" s="129">
        <v>166.00630000000001</v>
      </c>
      <c r="H15" s="129"/>
      <c r="I15" s="156">
        <f t="shared" si="0"/>
        <v>149.565425</v>
      </c>
      <c r="J15" s="156">
        <f t="shared" si="1"/>
        <v>25.2166</v>
      </c>
    </row>
    <row r="16" spans="1:19" x14ac:dyDescent="0.25">
      <c r="A16" s="16"/>
      <c r="B16" s="25"/>
      <c r="D16" s="129">
        <v>123.1086</v>
      </c>
      <c r="E16" s="129">
        <v>143.1284</v>
      </c>
      <c r="F16" s="129">
        <v>118.0925</v>
      </c>
      <c r="G16" s="129">
        <v>147.70650000000001</v>
      </c>
      <c r="H16" s="129"/>
      <c r="I16" s="156">
        <f t="shared" si="0"/>
        <v>133.00899999999999</v>
      </c>
      <c r="J16" s="156">
        <f t="shared" si="1"/>
        <v>29.614000000000004</v>
      </c>
    </row>
    <row r="17" spans="1:10" x14ac:dyDescent="0.25">
      <c r="A17" s="16"/>
      <c r="B17" s="25"/>
      <c r="D17" s="129">
        <v>110.56740000000001</v>
      </c>
      <c r="E17" s="129">
        <v>134.56010000000001</v>
      </c>
      <c r="F17" s="129">
        <v>143.1497</v>
      </c>
      <c r="G17" s="129">
        <v>135.37479999999999</v>
      </c>
      <c r="H17" s="129"/>
      <c r="I17" s="156">
        <f t="shared" si="0"/>
        <v>130.91300000000001</v>
      </c>
      <c r="J17" s="156">
        <f t="shared" si="1"/>
        <v>32.582299999999989</v>
      </c>
    </row>
    <row r="18" spans="1:10" x14ac:dyDescent="0.25">
      <c r="A18" s="16"/>
      <c r="B18" s="25"/>
      <c r="D18" s="129">
        <v>116.467</v>
      </c>
      <c r="E18" s="129">
        <v>149.5206</v>
      </c>
      <c r="F18" s="129">
        <v>123.9419</v>
      </c>
      <c r="G18" s="129">
        <v>116.431</v>
      </c>
      <c r="H18" s="129"/>
      <c r="I18" s="156">
        <f t="shared" si="0"/>
        <v>126.59012499999999</v>
      </c>
      <c r="J18" s="156">
        <f t="shared" si="1"/>
        <v>33.089600000000004</v>
      </c>
    </row>
    <row r="19" spans="1:10" x14ac:dyDescent="0.25">
      <c r="A19" s="16"/>
      <c r="B19" s="25"/>
      <c r="D19" s="129">
        <v>134.95920000000001</v>
      </c>
      <c r="E19" s="129">
        <v>120.98950000000001</v>
      </c>
      <c r="F19" s="129">
        <v>109.1127</v>
      </c>
      <c r="G19" s="129">
        <v>146.375</v>
      </c>
      <c r="H19" s="129"/>
      <c r="I19" s="156">
        <f t="shared" si="0"/>
        <v>127.85910000000001</v>
      </c>
      <c r="J19" s="156">
        <f t="shared" si="1"/>
        <v>37.262299999999996</v>
      </c>
    </row>
    <row r="20" spans="1:10" x14ac:dyDescent="0.25">
      <c r="A20" s="16"/>
      <c r="B20" s="25"/>
      <c r="D20" s="129">
        <v>142.8681</v>
      </c>
      <c r="E20" s="129">
        <v>139.066</v>
      </c>
      <c r="F20" s="129">
        <v>144.4632</v>
      </c>
      <c r="G20" s="129">
        <v>118.54689999999999</v>
      </c>
      <c r="H20" s="129"/>
      <c r="I20" s="156">
        <f t="shared" si="0"/>
        <v>136.23604999999998</v>
      </c>
      <c r="J20" s="156">
        <f t="shared" si="1"/>
        <v>25.916300000000007</v>
      </c>
    </row>
    <row r="21" spans="1:10" x14ac:dyDescent="0.25">
      <c r="A21" s="16"/>
      <c r="B21" s="25"/>
      <c r="D21" s="129">
        <v>125.4314</v>
      </c>
      <c r="E21" s="129">
        <v>154.90199999999999</v>
      </c>
      <c r="F21" s="129">
        <v>141.60400000000001</v>
      </c>
      <c r="G21" s="129">
        <v>142.4873</v>
      </c>
      <c r="H21" s="129"/>
      <c r="I21" s="156">
        <f t="shared" si="0"/>
        <v>141.10617500000001</v>
      </c>
      <c r="J21" s="156">
        <f t="shared" si="1"/>
        <v>29.47059999999999</v>
      </c>
    </row>
    <row r="22" spans="1:10" x14ac:dyDescent="0.25">
      <c r="A22" s="16"/>
      <c r="B22" s="25"/>
      <c r="D22" s="129">
        <v>131.41540000000001</v>
      </c>
      <c r="E22" s="129">
        <v>126.1713</v>
      </c>
      <c r="F22" s="129">
        <v>135.12459999999999</v>
      </c>
      <c r="G22" s="129">
        <v>132.13290000000001</v>
      </c>
      <c r="H22" s="129"/>
      <c r="I22" s="156">
        <f t="shared" si="0"/>
        <v>131.21105</v>
      </c>
      <c r="J22" s="156">
        <f t="shared" si="1"/>
        <v>8.9532999999999845</v>
      </c>
    </row>
    <row r="23" spans="1:10" x14ac:dyDescent="0.25">
      <c r="A23" s="16"/>
      <c r="B23" s="25"/>
      <c r="D23" s="129">
        <v>108.7846</v>
      </c>
      <c r="E23" s="129">
        <v>139.22980000000001</v>
      </c>
      <c r="F23" s="129">
        <v>129.53049999999999</v>
      </c>
      <c r="G23" s="129">
        <v>149.50919999999999</v>
      </c>
      <c r="H23" s="129"/>
      <c r="I23" s="156">
        <f t="shared" si="0"/>
        <v>131.76352499999999</v>
      </c>
      <c r="J23" s="156">
        <f t="shared" si="1"/>
        <v>40.724599999999995</v>
      </c>
    </row>
    <row r="24" spans="1:10" x14ac:dyDescent="0.25">
      <c r="A24" s="16"/>
      <c r="B24" s="25"/>
      <c r="D24" s="129">
        <v>127.0223</v>
      </c>
      <c r="E24" s="129">
        <v>135.3065</v>
      </c>
      <c r="F24" s="129">
        <v>142.2483</v>
      </c>
      <c r="G24" s="129">
        <v>122.0069</v>
      </c>
      <c r="H24" s="129"/>
      <c r="I24" s="156">
        <f t="shared" si="0"/>
        <v>131.64599999999999</v>
      </c>
      <c r="J24" s="156">
        <f t="shared" si="1"/>
        <v>20.241399999999999</v>
      </c>
    </row>
    <row r="25" spans="1:10" x14ac:dyDescent="0.25">
      <c r="A25" s="16"/>
      <c r="B25" s="25"/>
      <c r="D25" s="129">
        <v>135.0341</v>
      </c>
      <c r="E25" s="129">
        <v>147.08269999999999</v>
      </c>
      <c r="F25" s="129">
        <v>104.9483</v>
      </c>
      <c r="G25" s="129">
        <v>127.2424</v>
      </c>
      <c r="H25" s="129"/>
      <c r="I25" s="156">
        <f t="shared" si="0"/>
        <v>128.576875</v>
      </c>
      <c r="J25" s="156">
        <f t="shared" si="1"/>
        <v>42.134399999999985</v>
      </c>
    </row>
    <row r="26" spans="1:10" x14ac:dyDescent="0.25">
      <c r="A26" s="16"/>
      <c r="B26" s="25"/>
      <c r="D26" s="129">
        <v>123.2239</v>
      </c>
      <c r="E26" s="129">
        <v>122.3023</v>
      </c>
      <c r="F26" s="129">
        <v>144.1018</v>
      </c>
      <c r="G26" s="129">
        <v>142.73740000000001</v>
      </c>
      <c r="H26" s="129"/>
      <c r="I26" s="156">
        <f t="shared" si="0"/>
        <v>133.09135000000001</v>
      </c>
      <c r="J26" s="156">
        <f t="shared" si="1"/>
        <v>21.799499999999995</v>
      </c>
    </row>
    <row r="27" spans="1:10" x14ac:dyDescent="0.25">
      <c r="A27" s="16"/>
      <c r="B27" s="25"/>
      <c r="D27" s="129">
        <v>126.90389999999999</v>
      </c>
      <c r="E27" s="129">
        <v>120.07689999999999</v>
      </c>
      <c r="F27" s="129">
        <v>127.70869999999999</v>
      </c>
      <c r="G27" s="129">
        <v>128.89250000000001</v>
      </c>
      <c r="H27" s="129"/>
      <c r="I27" s="156">
        <f t="shared" si="0"/>
        <v>125.8955</v>
      </c>
      <c r="J27" s="156">
        <f t="shared" si="1"/>
        <v>8.8156000000000176</v>
      </c>
    </row>
    <row r="28" spans="1:10" x14ac:dyDescent="0.25">
      <c r="A28" s="16"/>
      <c r="D28" s="129">
        <v>140.81739999999999</v>
      </c>
      <c r="E28" s="129">
        <v>123.3937</v>
      </c>
      <c r="F28" s="129">
        <v>124.7996</v>
      </c>
      <c r="G28" s="129">
        <v>110.06229999999999</v>
      </c>
      <c r="H28" s="129"/>
      <c r="I28" s="156">
        <f t="shared" si="0"/>
        <v>124.76824999999999</v>
      </c>
      <c r="J28" s="156">
        <f t="shared" si="1"/>
        <v>30.755099999999999</v>
      </c>
    </row>
    <row r="29" spans="1:10" x14ac:dyDescent="0.25">
      <c r="A29" s="16"/>
      <c r="D29" s="129">
        <v>132.82310000000001</v>
      </c>
      <c r="E29" s="129">
        <v>140.8793</v>
      </c>
      <c r="F29" s="129">
        <v>130.8443</v>
      </c>
      <c r="G29" s="129">
        <v>129.68549999999999</v>
      </c>
      <c r="H29" s="129"/>
      <c r="I29" s="156">
        <f t="shared" si="0"/>
        <v>133.55804999999998</v>
      </c>
      <c r="J29" s="156">
        <f t="shared" si="1"/>
        <v>11.19380000000001</v>
      </c>
    </row>
    <row r="30" spans="1:10" x14ac:dyDescent="0.25">
      <c r="A30" s="16"/>
      <c r="D30" s="129">
        <v>164.00810000000001</v>
      </c>
      <c r="E30" s="129">
        <v>137.52610000000001</v>
      </c>
      <c r="F30" s="129">
        <v>137.8108</v>
      </c>
      <c r="G30" s="129">
        <v>136.1208</v>
      </c>
      <c r="H30" s="129"/>
      <c r="I30" s="156">
        <f t="shared" si="0"/>
        <v>143.86645000000001</v>
      </c>
      <c r="J30" s="156">
        <f t="shared" si="1"/>
        <v>27.88730000000001</v>
      </c>
    </row>
    <row r="31" spans="1:10" x14ac:dyDescent="0.25">
      <c r="A31" s="16"/>
      <c r="D31" s="129">
        <v>140.39019999999999</v>
      </c>
      <c r="E31" s="129">
        <v>137.9829</v>
      </c>
      <c r="F31" s="129">
        <v>130.9128</v>
      </c>
      <c r="G31" s="129">
        <v>119.64409999999999</v>
      </c>
      <c r="H31" s="129"/>
      <c r="I31" s="156">
        <f t="shared" si="0"/>
        <v>132.23250000000002</v>
      </c>
      <c r="J31" s="156">
        <f t="shared" si="1"/>
        <v>20.746099999999998</v>
      </c>
    </row>
    <row r="32" spans="1:10" x14ac:dyDescent="0.25">
      <c r="A32" s="16"/>
      <c r="D32" s="129">
        <v>133.71440000000001</v>
      </c>
      <c r="E32" s="129">
        <v>107.4242</v>
      </c>
      <c r="F32" s="129">
        <v>140.64680000000001</v>
      </c>
      <c r="G32" s="129">
        <v>110.8908</v>
      </c>
      <c r="H32" s="129"/>
      <c r="I32" s="156">
        <f t="shared" si="0"/>
        <v>123.16905</v>
      </c>
      <c r="J32" s="156">
        <f t="shared" si="1"/>
        <v>33.222600000000014</v>
      </c>
    </row>
    <row r="33" spans="1:10" x14ac:dyDescent="0.25">
      <c r="A33" s="16"/>
      <c r="D33" s="129">
        <v>152.4924</v>
      </c>
      <c r="E33" s="129">
        <v>133.4761</v>
      </c>
      <c r="F33" s="129">
        <v>146.13839999999999</v>
      </c>
      <c r="G33" s="129">
        <v>130.42179999999999</v>
      </c>
      <c r="H33" s="129"/>
      <c r="I33" s="156">
        <f t="shared" si="0"/>
        <v>140.63217499999999</v>
      </c>
      <c r="J33" s="156">
        <f t="shared" si="1"/>
        <v>22.070600000000013</v>
      </c>
    </row>
    <row r="34" spans="1:10" x14ac:dyDescent="0.25">
      <c r="D34" s="129">
        <v>142.49039999999999</v>
      </c>
      <c r="E34" s="129">
        <v>134.07230000000001</v>
      </c>
      <c r="F34" s="129">
        <v>140.4074</v>
      </c>
      <c r="G34" s="129">
        <v>109.71639999999999</v>
      </c>
      <c r="H34" s="129"/>
      <c r="I34" s="156">
        <f t="shared" si="0"/>
        <v>131.67162500000001</v>
      </c>
      <c r="J34" s="156">
        <f t="shared" si="1"/>
        <v>32.774000000000001</v>
      </c>
    </row>
    <row r="35" spans="1:10" x14ac:dyDescent="0.25">
      <c r="D35" s="129">
        <v>133.46629999999999</v>
      </c>
      <c r="E35" s="129">
        <v>145.47130000000001</v>
      </c>
      <c r="F35" s="129">
        <v>152.1421</v>
      </c>
      <c r="G35" s="129">
        <v>123.28100000000001</v>
      </c>
      <c r="H35" s="129"/>
      <c r="I35" s="156">
        <f t="shared" si="0"/>
        <v>138.59017499999999</v>
      </c>
      <c r="J35" s="156">
        <f t="shared" si="1"/>
        <v>28.861099999999993</v>
      </c>
    </row>
    <row r="36" spans="1:10" x14ac:dyDescent="0.25">
      <c r="D36" s="129">
        <v>129.06700000000001</v>
      </c>
      <c r="E36" s="129">
        <v>133.0712</v>
      </c>
      <c r="F36" s="129">
        <v>133.66059999999999</v>
      </c>
      <c r="G36" s="129">
        <v>140.5805</v>
      </c>
      <c r="H36" s="129"/>
      <c r="I36" s="156">
        <f t="shared" si="0"/>
        <v>134.09482499999999</v>
      </c>
      <c r="J36" s="156">
        <f t="shared" si="1"/>
        <v>11.513499999999993</v>
      </c>
    </row>
    <row r="37" spans="1:10" x14ac:dyDescent="0.25">
      <c r="D37" s="129">
        <v>158.76220000000001</v>
      </c>
      <c r="E37" s="129">
        <v>128.5376</v>
      </c>
      <c r="F37" s="129">
        <v>131.61940000000001</v>
      </c>
      <c r="G37" s="129">
        <v>131.3228</v>
      </c>
      <c r="H37" s="129"/>
      <c r="I37" s="156">
        <f t="shared" si="0"/>
        <v>137.56050000000002</v>
      </c>
      <c r="J37" s="156">
        <f t="shared" si="1"/>
        <v>30.224600000000009</v>
      </c>
    </row>
    <row r="38" spans="1:10" x14ac:dyDescent="0.25">
      <c r="D38" s="129">
        <v>131.21719999999999</v>
      </c>
      <c r="E38" s="129">
        <v>133.37350000000001</v>
      </c>
      <c r="F38" s="129">
        <v>130.39070000000001</v>
      </c>
      <c r="G38" s="129">
        <v>115.1692</v>
      </c>
      <c r="H38" s="129"/>
      <c r="I38" s="156">
        <f t="shared" si="0"/>
        <v>127.53765</v>
      </c>
      <c r="J38" s="156">
        <f t="shared" si="1"/>
        <v>18.204300000000003</v>
      </c>
    </row>
    <row r="39" spans="1:10" x14ac:dyDescent="0.25">
      <c r="D39" s="129"/>
      <c r="E39" s="129"/>
      <c r="F39" s="129"/>
      <c r="G39" s="129"/>
      <c r="H39" s="129"/>
      <c r="I39" s="156"/>
      <c r="J39" s="156"/>
    </row>
    <row r="40" spans="1:10" x14ac:dyDescent="0.25">
      <c r="D40" s="129"/>
      <c r="E40" s="129"/>
      <c r="F40" s="129"/>
      <c r="G40" s="129"/>
      <c r="H40" s="129"/>
      <c r="I40" s="156"/>
      <c r="J40" s="156"/>
    </row>
    <row r="41" spans="1:10" x14ac:dyDescent="0.25">
      <c r="D41" s="129"/>
      <c r="E41" s="129"/>
      <c r="F41" s="129"/>
      <c r="G41" s="129"/>
      <c r="H41" s="129"/>
      <c r="I41" s="156"/>
      <c r="J41" s="156"/>
    </row>
    <row r="42" spans="1:10" x14ac:dyDescent="0.25">
      <c r="D42" s="129"/>
      <c r="E42" s="129"/>
      <c r="F42" s="129"/>
      <c r="G42" s="129"/>
      <c r="H42" s="129"/>
      <c r="I42" s="156"/>
      <c r="J42" s="156"/>
    </row>
    <row r="43" spans="1:10" x14ac:dyDescent="0.25">
      <c r="D43" s="129"/>
      <c r="E43" s="129"/>
      <c r="F43" s="129"/>
      <c r="G43" s="129"/>
      <c r="H43" s="129"/>
      <c r="I43" s="156"/>
      <c r="J43" s="156"/>
    </row>
    <row r="44" spans="1:10" x14ac:dyDescent="0.25">
      <c r="D44" s="129"/>
      <c r="E44" s="129"/>
      <c r="F44" s="129"/>
      <c r="G44" s="129"/>
      <c r="H44" s="129"/>
      <c r="I44" s="156"/>
      <c r="J44" s="156"/>
    </row>
    <row r="45" spans="1:10" x14ac:dyDescent="0.25">
      <c r="D45" s="129"/>
      <c r="E45" s="129"/>
      <c r="F45" s="129"/>
      <c r="G45" s="129"/>
      <c r="H45" s="129"/>
      <c r="I45" s="156"/>
      <c r="J45" s="156"/>
    </row>
    <row r="46" spans="1:10" x14ac:dyDescent="0.25">
      <c r="D46" s="129"/>
      <c r="E46" s="129"/>
      <c r="F46" s="129"/>
      <c r="G46" s="129"/>
      <c r="H46" s="129"/>
      <c r="I46" s="156"/>
      <c r="J46" s="156"/>
    </row>
    <row r="47" spans="1:10" x14ac:dyDescent="0.25">
      <c r="D47" s="129"/>
      <c r="E47" s="129"/>
      <c r="F47" s="129"/>
      <c r="G47" s="129"/>
      <c r="H47" s="129"/>
      <c r="I47" s="156"/>
      <c r="J47" s="156"/>
    </row>
    <row r="48" spans="1:10" x14ac:dyDescent="0.25">
      <c r="D48" s="129"/>
      <c r="E48" s="129"/>
      <c r="F48" s="129"/>
      <c r="G48" s="129"/>
      <c r="H48" s="129"/>
      <c r="I48" s="156"/>
      <c r="J48" s="156"/>
    </row>
    <row r="49" spans="4:10" x14ac:dyDescent="0.25">
      <c r="D49" s="129"/>
      <c r="E49" s="129"/>
      <c r="F49" s="129"/>
      <c r="G49" s="129"/>
      <c r="H49" s="129"/>
      <c r="I49" s="156"/>
      <c r="J49" s="156"/>
    </row>
    <row r="50" spans="4:10" x14ac:dyDescent="0.25">
      <c r="D50" s="129"/>
      <c r="E50" s="129"/>
      <c r="F50" s="129"/>
      <c r="G50" s="129"/>
      <c r="H50" s="129"/>
      <c r="I50" s="156"/>
      <c r="J50" s="156"/>
    </row>
  </sheetData>
  <pageMargins left="0.75" right="0.75" top="1" bottom="1" header="0.51180555555555562" footer="0.51180555555555562"/>
  <pageSetup firstPageNumber="0" orientation="portrait" horizontalDpi="300" verticalDpi="300"/>
  <headerFooter alignWithMargins="0"/>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N200"/>
  <sheetViews>
    <sheetView showGridLines="0" topLeftCell="A16" zoomScale="85" zoomScaleNormal="85" workbookViewId="0">
      <selection activeCell="J31" sqref="J31"/>
    </sheetView>
  </sheetViews>
  <sheetFormatPr defaultRowHeight="12.5" x14ac:dyDescent="0.25"/>
  <cols>
    <col min="1" max="1" width="28.08984375" customWidth="1"/>
    <col min="3" max="3" width="8.81640625" customWidth="1"/>
    <col min="4" max="4" width="26.7265625" customWidth="1"/>
    <col min="7" max="7" width="14.453125" customWidth="1"/>
    <col min="8" max="8" width="12.453125" customWidth="1"/>
  </cols>
  <sheetData>
    <row r="1" spans="1:8" x14ac:dyDescent="0.25">
      <c r="A1" s="1" t="s">
        <v>0</v>
      </c>
    </row>
    <row r="2" spans="1:8" ht="13" x14ac:dyDescent="0.3">
      <c r="A2" s="2" t="s">
        <v>2</v>
      </c>
    </row>
    <row r="3" spans="1:8" ht="18" x14ac:dyDescent="0.4">
      <c r="A3" s="187" t="s">
        <v>324</v>
      </c>
    </row>
    <row r="4" spans="1:8" ht="12.9" customHeight="1" x14ac:dyDescent="0.25">
      <c r="G4" s="387" t="s">
        <v>325</v>
      </c>
      <c r="H4" s="387"/>
    </row>
    <row r="5" spans="1:8" x14ac:dyDescent="0.25">
      <c r="G5" s="387"/>
      <c r="H5" s="387"/>
    </row>
    <row r="6" spans="1:8" x14ac:dyDescent="0.25">
      <c r="B6" s="197" t="s">
        <v>326</v>
      </c>
      <c r="G6" s="387"/>
      <c r="H6" s="387"/>
    </row>
    <row r="7" spans="1:8" ht="13" x14ac:dyDescent="0.3">
      <c r="A7" s="19"/>
      <c r="B7" s="144" t="s">
        <v>327</v>
      </c>
      <c r="D7" s="19"/>
      <c r="E7" s="144" t="s">
        <v>328</v>
      </c>
      <c r="G7" s="387"/>
      <c r="H7" s="387"/>
    </row>
    <row r="8" spans="1:8" x14ac:dyDescent="0.25">
      <c r="A8" s="7" t="s">
        <v>329</v>
      </c>
      <c r="B8" s="185">
        <v>67.099999999999994</v>
      </c>
      <c r="D8" s="7" t="s">
        <v>329</v>
      </c>
      <c r="E8" s="185">
        <v>94.7</v>
      </c>
      <c r="F8" t="s">
        <v>330</v>
      </c>
      <c r="G8" s="387"/>
      <c r="H8" s="387"/>
    </row>
    <row r="9" spans="1:8" x14ac:dyDescent="0.25">
      <c r="A9" s="7" t="s">
        <v>208</v>
      </c>
      <c r="B9" s="198">
        <v>1.67</v>
      </c>
      <c r="D9" s="7" t="s">
        <v>331</v>
      </c>
      <c r="E9" s="8">
        <v>1.67</v>
      </c>
      <c r="G9" s="387"/>
      <c r="H9" s="387"/>
    </row>
    <row r="10" spans="1:8" x14ac:dyDescent="0.25">
      <c r="A10" s="7" t="s">
        <v>332</v>
      </c>
      <c r="B10" s="198"/>
      <c r="G10" s="387"/>
      <c r="H10" s="387"/>
    </row>
    <row r="11" spans="1:8" x14ac:dyDescent="0.25">
      <c r="A11" s="7" t="s">
        <v>333</v>
      </c>
      <c r="B11" s="8">
        <v>124.2</v>
      </c>
      <c r="D11" s="7" t="s">
        <v>334</v>
      </c>
      <c r="E11" s="8">
        <v>108.4</v>
      </c>
      <c r="G11" s="387"/>
      <c r="H11" s="387"/>
    </row>
    <row r="12" spans="1:8" ht="13" x14ac:dyDescent="0.3">
      <c r="A12" s="10" t="s">
        <v>335</v>
      </c>
      <c r="B12" s="199">
        <f>(B11-B10)/(6*B9)</f>
        <v>12.395209580838324</v>
      </c>
      <c r="D12" s="10" t="s">
        <v>336</v>
      </c>
      <c r="E12" s="11">
        <f>(E11-E8)/(3*E9)</f>
        <v>2.7345309381237533</v>
      </c>
      <c r="G12" s="387"/>
      <c r="H12" s="387"/>
    </row>
    <row r="13" spans="1:8" ht="13" x14ac:dyDescent="0.3">
      <c r="A13" s="10" t="s">
        <v>331</v>
      </c>
      <c r="B13" s="18">
        <f>MIN((B11-B8)/(3*B9),(B8-B10)/(3*B9))</f>
        <v>11.397205588822358</v>
      </c>
      <c r="G13" s="387"/>
      <c r="H13" s="387"/>
    </row>
    <row r="14" spans="1:8" x14ac:dyDescent="0.25">
      <c r="A14" s="16"/>
      <c r="B14" s="25"/>
      <c r="D14" s="7" t="s">
        <v>337</v>
      </c>
      <c r="E14" s="198"/>
      <c r="G14" s="387"/>
      <c r="H14" s="387"/>
    </row>
    <row r="15" spans="1:8" ht="13" x14ac:dyDescent="0.3">
      <c r="A15" s="16"/>
      <c r="B15" s="25"/>
      <c r="D15" s="10" t="s">
        <v>338</v>
      </c>
      <c r="E15" s="11">
        <f>(E8-E14)/(3*E9)</f>
        <v>18.902195608782435</v>
      </c>
      <c r="G15" s="387"/>
      <c r="H15" s="387"/>
    </row>
    <row r="16" spans="1:8" x14ac:dyDescent="0.25">
      <c r="G16" s="387"/>
      <c r="H16" s="387"/>
    </row>
    <row r="17" spans="1:14" x14ac:dyDescent="0.25">
      <c r="G17" s="389" t="s">
        <v>339</v>
      </c>
      <c r="H17" s="389"/>
    </row>
    <row r="18" spans="1:14" ht="13" x14ac:dyDescent="0.3">
      <c r="A18" s="19"/>
      <c r="B18" s="144" t="s">
        <v>340</v>
      </c>
      <c r="D18" s="117" t="s">
        <v>341</v>
      </c>
      <c r="E18" s="19"/>
      <c r="F18" s="19"/>
      <c r="G18" s="19"/>
    </row>
    <row r="19" spans="1:14" x14ac:dyDescent="0.25">
      <c r="A19" s="7" t="s">
        <v>329</v>
      </c>
      <c r="B19" s="200">
        <f>AVERAGE(B29:B200)</f>
        <v>33.785891783333327</v>
      </c>
      <c r="D19" s="7" t="s">
        <v>331</v>
      </c>
      <c r="E19" s="8">
        <v>0.53</v>
      </c>
    </row>
    <row r="20" spans="1:14" ht="13" x14ac:dyDescent="0.3">
      <c r="A20" s="7" t="s">
        <v>208</v>
      </c>
      <c r="B20" s="201">
        <f>STDEV(B29:B200)</f>
        <v>34.394212137828788</v>
      </c>
      <c r="D20" s="10" t="s">
        <v>342</v>
      </c>
      <c r="E20" s="18">
        <f>NORMSDIST(-E19*3)</f>
        <v>5.5917402519469417E-2</v>
      </c>
    </row>
    <row r="21" spans="1:14" x14ac:dyDescent="0.25">
      <c r="A21" s="7" t="s">
        <v>332</v>
      </c>
      <c r="B21" s="198">
        <v>73.3</v>
      </c>
      <c r="H21" t="s">
        <v>343</v>
      </c>
    </row>
    <row r="22" spans="1:14" ht="12.5" customHeight="1" x14ac:dyDescent="0.25">
      <c r="A22" s="7" t="s">
        <v>333</v>
      </c>
      <c r="B22" s="8">
        <v>89</v>
      </c>
      <c r="H22" s="403" t="s">
        <v>344</v>
      </c>
      <c r="I22" s="403"/>
      <c r="J22" s="403"/>
      <c r="K22" s="403"/>
      <c r="L22" s="403"/>
      <c r="M22" s="403"/>
      <c r="N22" s="403"/>
    </row>
    <row r="23" spans="1:14" ht="12.75" customHeight="1" x14ac:dyDescent="0.3">
      <c r="A23" s="10" t="s">
        <v>335</v>
      </c>
      <c r="B23" s="199">
        <f>(B22-B21)/(6*B20)</f>
        <v>7.6078691850269262E-2</v>
      </c>
      <c r="H23" s="403"/>
      <c r="I23" s="403"/>
      <c r="J23" s="403"/>
      <c r="K23" s="403"/>
      <c r="L23" s="403"/>
      <c r="M23" s="403"/>
      <c r="N23" s="403"/>
    </row>
    <row r="24" spans="1:14" ht="12.75" customHeight="1" x14ac:dyDescent="0.3">
      <c r="A24" s="10" t="s">
        <v>345</v>
      </c>
      <c r="B24" s="18">
        <f>MIN((B22-B19)/(3*B20),(B19-B21)/(3*B20))</f>
        <v>-0.3829530780578313</v>
      </c>
      <c r="C24" s="202" t="s">
        <v>346</v>
      </c>
      <c r="D24" s="138" t="s">
        <v>347</v>
      </c>
      <c r="E24" s="156"/>
      <c r="H24" s="403"/>
      <c r="I24" s="403"/>
      <c r="J24" s="403"/>
      <c r="K24" s="403"/>
      <c r="L24" s="403"/>
      <c r="M24" s="403"/>
      <c r="N24" s="403"/>
    </row>
    <row r="25" spans="1:14" ht="12.75" customHeight="1" x14ac:dyDescent="0.3">
      <c r="A25" s="10" t="s">
        <v>345</v>
      </c>
      <c r="B25" s="18">
        <f>(B22-B19)/(3*B20)</f>
        <v>0.53511046175836985</v>
      </c>
      <c r="C25" s="156"/>
      <c r="D25" s="138" t="s">
        <v>348</v>
      </c>
      <c r="E25" s="156"/>
      <c r="F25" s="156"/>
      <c r="H25" s="403"/>
      <c r="I25" s="403"/>
      <c r="J25" s="403"/>
      <c r="K25" s="403"/>
      <c r="L25" s="403"/>
      <c r="M25" s="403"/>
      <c r="N25" s="403"/>
    </row>
    <row r="26" spans="1:14" ht="12.75" customHeight="1" x14ac:dyDescent="0.3">
      <c r="A26" s="10" t="s">
        <v>345</v>
      </c>
      <c r="B26" s="18">
        <f>(B19-B21)/(3*B20)</f>
        <v>-0.3829530780578313</v>
      </c>
      <c r="C26" s="203" t="s">
        <v>349</v>
      </c>
    </row>
    <row r="27" spans="1:14" ht="13.5" customHeight="1" x14ac:dyDescent="0.25">
      <c r="C27" s="5"/>
      <c r="D27" s="5"/>
      <c r="E27" s="5"/>
    </row>
    <row r="28" spans="1:14" ht="12.75" customHeight="1" x14ac:dyDescent="0.25">
      <c r="B28" s="204" t="s">
        <v>350</v>
      </c>
    </row>
    <row r="29" spans="1:14" ht="12.75" customHeight="1" x14ac:dyDescent="0.25">
      <c r="A29" s="401" t="s">
        <v>351</v>
      </c>
      <c r="B29" s="205">
        <v>64.17783</v>
      </c>
    </row>
    <row r="30" spans="1:14" ht="12.75" customHeight="1" x14ac:dyDescent="0.25">
      <c r="A30" s="401"/>
      <c r="B30" s="205">
        <v>74.274429999999995</v>
      </c>
    </row>
    <row r="31" spans="1:14" ht="15.75" customHeight="1" x14ac:dyDescent="0.35">
      <c r="A31" s="401"/>
      <c r="B31" s="205">
        <v>56.370100000000001</v>
      </c>
      <c r="F31" s="206" t="s">
        <v>352</v>
      </c>
      <c r="G31" s="207"/>
      <c r="H31" s="208"/>
    </row>
    <row r="32" spans="1:14" x14ac:dyDescent="0.25">
      <c r="A32" s="401"/>
      <c r="B32" s="205">
        <v>37.655540000000002</v>
      </c>
    </row>
    <row r="33" spans="1:6" x14ac:dyDescent="0.25">
      <c r="A33" s="401"/>
      <c r="B33" s="209">
        <v>63.685000000000002</v>
      </c>
    </row>
    <row r="34" spans="1:6" x14ac:dyDescent="0.25">
      <c r="A34" s="401"/>
      <c r="B34" s="209">
        <v>66.734830000000002</v>
      </c>
    </row>
    <row r="35" spans="1:6" x14ac:dyDescent="0.25">
      <c r="A35" s="401"/>
      <c r="B35" s="209">
        <v>50.227449999999997</v>
      </c>
    </row>
    <row r="36" spans="1:6" x14ac:dyDescent="0.25">
      <c r="A36" s="401"/>
      <c r="B36" s="209">
        <v>47.782820000000001</v>
      </c>
    </row>
    <row r="37" spans="1:6" x14ac:dyDescent="0.25">
      <c r="A37" s="401"/>
      <c r="B37" s="209">
        <v>48.452779999999997</v>
      </c>
    </row>
    <row r="38" spans="1:6" x14ac:dyDescent="0.25">
      <c r="A38" s="401"/>
      <c r="B38" s="209">
        <v>39.77364</v>
      </c>
    </row>
    <row r="39" spans="1:6" x14ac:dyDescent="0.25">
      <c r="A39" s="210" t="s">
        <v>353</v>
      </c>
      <c r="B39" s="209">
        <v>36.158009999999997</v>
      </c>
    </row>
    <row r="40" spans="1:6" ht="13" x14ac:dyDescent="0.3">
      <c r="A40" s="211"/>
      <c r="B40" s="212">
        <v>32.338090000000001</v>
      </c>
      <c r="C40" s="213" t="s">
        <v>354</v>
      </c>
    </row>
    <row r="41" spans="1:6" x14ac:dyDescent="0.25">
      <c r="A41" s="211"/>
      <c r="B41" s="209">
        <v>16.072030000000002</v>
      </c>
    </row>
    <row r="42" spans="1:6" x14ac:dyDescent="0.25">
      <c r="A42" s="211"/>
      <c r="B42" s="209">
        <v>16.739940000000001</v>
      </c>
      <c r="C42" s="402" t="s">
        <v>355</v>
      </c>
      <c r="D42" s="402"/>
      <c r="E42" s="402"/>
      <c r="F42" s="402"/>
    </row>
    <row r="43" spans="1:6" x14ac:dyDescent="0.25">
      <c r="A43" s="211"/>
      <c r="B43" s="209">
        <v>16.01239</v>
      </c>
      <c r="C43" s="402"/>
      <c r="D43" s="402"/>
      <c r="E43" s="402"/>
      <c r="F43" s="402"/>
    </row>
    <row r="44" spans="1:6" x14ac:dyDescent="0.25">
      <c r="B44" s="209">
        <v>6.3170580000000003</v>
      </c>
      <c r="C44" s="402"/>
      <c r="D44" s="402"/>
      <c r="E44" s="402"/>
      <c r="F44" s="402"/>
    </row>
    <row r="45" spans="1:6" x14ac:dyDescent="0.25">
      <c r="B45" s="209">
        <v>9.1164269999999998</v>
      </c>
      <c r="C45" s="214"/>
    </row>
    <row r="46" spans="1:6" ht="13" x14ac:dyDescent="0.3">
      <c r="B46" s="209">
        <v>23.884620000000002</v>
      </c>
      <c r="C46" s="213" t="s">
        <v>356</v>
      </c>
    </row>
    <row r="47" spans="1:6" x14ac:dyDescent="0.25">
      <c r="B47" s="209">
        <v>17.970780000000001</v>
      </c>
    </row>
    <row r="48" spans="1:6" x14ac:dyDescent="0.25">
      <c r="B48" s="209">
        <v>22.03323</v>
      </c>
      <c r="C48" t="s">
        <v>357</v>
      </c>
    </row>
    <row r="49" spans="2:2" x14ac:dyDescent="0.25">
      <c r="B49" s="209">
        <v>35.621169999999999</v>
      </c>
    </row>
    <row r="50" spans="2:2" x14ac:dyDescent="0.25">
      <c r="B50" s="212">
        <v>36.267029999999998</v>
      </c>
    </row>
    <row r="51" spans="2:2" x14ac:dyDescent="0.25">
      <c r="B51" s="209">
        <v>52.254300000000001</v>
      </c>
    </row>
    <row r="52" spans="2:2" x14ac:dyDescent="0.25">
      <c r="B52" s="209">
        <v>58.62988</v>
      </c>
    </row>
    <row r="53" spans="2:2" x14ac:dyDescent="0.25">
      <c r="B53" s="209">
        <v>64.420609999999996</v>
      </c>
    </row>
    <row r="54" spans="2:2" x14ac:dyDescent="0.25">
      <c r="B54" s="209">
        <v>57.005070000000003</v>
      </c>
    </row>
    <row r="55" spans="2:2" x14ac:dyDescent="0.25">
      <c r="B55" s="209">
        <v>69.1126</v>
      </c>
    </row>
    <row r="56" spans="2:2" x14ac:dyDescent="0.25">
      <c r="B56" s="209">
        <v>51.646799999999999</v>
      </c>
    </row>
    <row r="57" spans="2:2" x14ac:dyDescent="0.25">
      <c r="B57" s="209">
        <v>12.50529</v>
      </c>
    </row>
    <row r="58" spans="2:2" x14ac:dyDescent="0.25">
      <c r="B58" s="212">
        <v>4.9922610000000001</v>
      </c>
    </row>
    <row r="59" spans="2:2" x14ac:dyDescent="0.25">
      <c r="B59" s="209">
        <v>7.1358379999999997</v>
      </c>
    </row>
    <row r="60" spans="2:2" x14ac:dyDescent="0.25">
      <c r="B60" s="209">
        <v>8.9321809999999999</v>
      </c>
    </row>
    <row r="61" spans="2:2" x14ac:dyDescent="0.25">
      <c r="B61" s="209">
        <v>-11.09295</v>
      </c>
    </row>
    <row r="62" spans="2:2" x14ac:dyDescent="0.25">
      <c r="B62" s="209">
        <v>-4.3481240000000003</v>
      </c>
    </row>
    <row r="63" spans="2:2" x14ac:dyDescent="0.25">
      <c r="B63" s="209">
        <v>3.5211709999999998</v>
      </c>
    </row>
    <row r="64" spans="2:2" x14ac:dyDescent="0.25">
      <c r="B64" s="209">
        <v>20.823239999999998</v>
      </c>
    </row>
    <row r="65" spans="2:2" x14ac:dyDescent="0.25">
      <c r="B65" s="209">
        <v>9.9398999999999997</v>
      </c>
    </row>
    <row r="66" spans="2:2" x14ac:dyDescent="0.25">
      <c r="B66" s="209">
        <v>36.694360000000003</v>
      </c>
    </row>
    <row r="67" spans="2:2" x14ac:dyDescent="0.25">
      <c r="B67" s="209">
        <v>25.352900000000002</v>
      </c>
    </row>
    <row r="68" spans="2:2" x14ac:dyDescent="0.25">
      <c r="B68" s="209">
        <v>12.13531</v>
      </c>
    </row>
    <row r="69" spans="2:2" x14ac:dyDescent="0.25">
      <c r="B69" s="209">
        <v>9.0951400000000007</v>
      </c>
    </row>
    <row r="70" spans="2:2" x14ac:dyDescent="0.25">
      <c r="B70" s="209">
        <v>-4.9503130000000004</v>
      </c>
    </row>
    <row r="71" spans="2:2" x14ac:dyDescent="0.25">
      <c r="B71" s="209">
        <v>-14.232480000000001</v>
      </c>
    </row>
    <row r="72" spans="2:2" x14ac:dyDescent="0.25">
      <c r="B72" s="209">
        <v>1.153267</v>
      </c>
    </row>
    <row r="73" spans="2:2" x14ac:dyDescent="0.25">
      <c r="B73" s="209">
        <v>6.4457719999999998</v>
      </c>
    </row>
    <row r="74" spans="2:2" x14ac:dyDescent="0.25">
      <c r="B74" s="209">
        <v>9.5382259999999999</v>
      </c>
    </row>
    <row r="75" spans="2:2" x14ac:dyDescent="0.25">
      <c r="B75" s="209">
        <v>10.418559999999999</v>
      </c>
    </row>
    <row r="76" spans="2:2" x14ac:dyDescent="0.25">
      <c r="B76" s="209">
        <v>-0.79301160000000004</v>
      </c>
    </row>
    <row r="77" spans="2:2" x14ac:dyDescent="0.25">
      <c r="B77" s="212">
        <v>-11.423069999999999</v>
      </c>
    </row>
    <row r="78" spans="2:2" x14ac:dyDescent="0.25">
      <c r="B78" s="209">
        <v>-25.26407</v>
      </c>
    </row>
    <row r="79" spans="2:2" x14ac:dyDescent="0.25">
      <c r="B79" s="212">
        <v>-16.05724</v>
      </c>
    </row>
    <row r="80" spans="2:2" x14ac:dyDescent="0.25">
      <c r="B80" s="209">
        <v>-18.634260000000001</v>
      </c>
    </row>
    <row r="81" spans="2:2" x14ac:dyDescent="0.25">
      <c r="B81" s="209">
        <v>-13.743069999999999</v>
      </c>
    </row>
    <row r="82" spans="2:2" x14ac:dyDescent="0.25">
      <c r="B82" s="209">
        <v>-9.5434640000000002</v>
      </c>
    </row>
    <row r="83" spans="2:2" x14ac:dyDescent="0.25">
      <c r="B83" s="209">
        <v>10.03449</v>
      </c>
    </row>
    <row r="84" spans="2:2" x14ac:dyDescent="0.25">
      <c r="B84" s="209">
        <v>18.4102</v>
      </c>
    </row>
    <row r="85" spans="2:2" x14ac:dyDescent="0.25">
      <c r="B85" s="209">
        <v>19.94661</v>
      </c>
    </row>
    <row r="86" spans="2:2" x14ac:dyDescent="0.25">
      <c r="B86" s="209">
        <v>25.356780000000001</v>
      </c>
    </row>
    <row r="87" spans="2:2" x14ac:dyDescent="0.25">
      <c r="B87" s="209">
        <v>24.349419999999999</v>
      </c>
    </row>
    <row r="88" spans="2:2" x14ac:dyDescent="0.25">
      <c r="B88" s="209">
        <v>45.77863</v>
      </c>
    </row>
    <row r="89" spans="2:2" x14ac:dyDescent="0.25">
      <c r="B89" s="209">
        <v>64.189120000000003</v>
      </c>
    </row>
    <row r="90" spans="2:2" x14ac:dyDescent="0.25">
      <c r="B90" s="209">
        <v>81.955460000000002</v>
      </c>
    </row>
    <row r="91" spans="2:2" x14ac:dyDescent="0.25">
      <c r="B91" s="209">
        <v>84.009</v>
      </c>
    </row>
    <row r="92" spans="2:2" x14ac:dyDescent="0.25">
      <c r="B92" s="209">
        <v>99.478290000000001</v>
      </c>
    </row>
    <row r="93" spans="2:2" x14ac:dyDescent="0.25">
      <c r="B93" s="209">
        <v>89.498289999999997</v>
      </c>
    </row>
    <row r="94" spans="2:2" x14ac:dyDescent="0.25">
      <c r="B94" s="209">
        <v>90.506839999999997</v>
      </c>
    </row>
    <row r="95" spans="2:2" x14ac:dyDescent="0.25">
      <c r="B95" s="209">
        <v>106.059</v>
      </c>
    </row>
    <row r="96" spans="2:2" x14ac:dyDescent="0.25">
      <c r="B96" s="209">
        <v>93.710170000000005</v>
      </c>
    </row>
    <row r="97" spans="2:2" x14ac:dyDescent="0.25">
      <c r="B97" s="209">
        <v>74.726960000000005</v>
      </c>
    </row>
    <row r="98" spans="2:2" x14ac:dyDescent="0.25">
      <c r="B98" s="209">
        <v>92.917069999999995</v>
      </c>
    </row>
    <row r="99" spans="2:2" x14ac:dyDescent="0.25">
      <c r="B99" s="209">
        <v>106.4391</v>
      </c>
    </row>
    <row r="100" spans="2:2" x14ac:dyDescent="0.25">
      <c r="B100" s="209">
        <v>85.882959999999997</v>
      </c>
    </row>
    <row r="101" spans="2:2" x14ac:dyDescent="0.25">
      <c r="B101" s="209"/>
    </row>
    <row r="102" spans="2:2" x14ac:dyDescent="0.25">
      <c r="B102" s="209"/>
    </row>
    <row r="103" spans="2:2" x14ac:dyDescent="0.25">
      <c r="B103" s="209"/>
    </row>
    <row r="104" spans="2:2" x14ac:dyDescent="0.25">
      <c r="B104" s="209"/>
    </row>
    <row r="105" spans="2:2" x14ac:dyDescent="0.25">
      <c r="B105" s="209"/>
    </row>
    <row r="106" spans="2:2" x14ac:dyDescent="0.25">
      <c r="B106" s="209"/>
    </row>
    <row r="107" spans="2:2" x14ac:dyDescent="0.25">
      <c r="B107" s="209"/>
    </row>
    <row r="108" spans="2:2" x14ac:dyDescent="0.25">
      <c r="B108" s="209"/>
    </row>
    <row r="109" spans="2:2" x14ac:dyDescent="0.25">
      <c r="B109" s="209"/>
    </row>
    <row r="110" spans="2:2" x14ac:dyDescent="0.25">
      <c r="B110" s="209"/>
    </row>
    <row r="111" spans="2:2" x14ac:dyDescent="0.25">
      <c r="B111" s="209"/>
    </row>
    <row r="112" spans="2:2" x14ac:dyDescent="0.25">
      <c r="B112" s="209"/>
    </row>
    <row r="113" spans="2:2" x14ac:dyDescent="0.25">
      <c r="B113" s="209"/>
    </row>
    <row r="114" spans="2:2" x14ac:dyDescent="0.25">
      <c r="B114" s="209"/>
    </row>
    <row r="115" spans="2:2" x14ac:dyDescent="0.25">
      <c r="B115" s="209"/>
    </row>
    <row r="116" spans="2:2" x14ac:dyDescent="0.25">
      <c r="B116" s="209"/>
    </row>
    <row r="117" spans="2:2" x14ac:dyDescent="0.25">
      <c r="B117" s="209"/>
    </row>
    <row r="118" spans="2:2" x14ac:dyDescent="0.25">
      <c r="B118" s="209"/>
    </row>
    <row r="119" spans="2:2" x14ac:dyDescent="0.25">
      <c r="B119" s="209"/>
    </row>
    <row r="120" spans="2:2" x14ac:dyDescent="0.25">
      <c r="B120" s="209"/>
    </row>
    <row r="121" spans="2:2" x14ac:dyDescent="0.25">
      <c r="B121" s="209"/>
    </row>
    <row r="122" spans="2:2" x14ac:dyDescent="0.25">
      <c r="B122" s="209"/>
    </row>
    <row r="123" spans="2:2" x14ac:dyDescent="0.25">
      <c r="B123" s="209"/>
    </row>
    <row r="124" spans="2:2" x14ac:dyDescent="0.25">
      <c r="B124" s="209"/>
    </row>
    <row r="125" spans="2:2" x14ac:dyDescent="0.25">
      <c r="B125" s="209"/>
    </row>
    <row r="126" spans="2:2" x14ac:dyDescent="0.25">
      <c r="B126" s="209"/>
    </row>
    <row r="127" spans="2:2" x14ac:dyDescent="0.25">
      <c r="B127" s="209"/>
    </row>
    <row r="128" spans="2:2" x14ac:dyDescent="0.25">
      <c r="B128" s="209"/>
    </row>
    <row r="129" spans="2:2" x14ac:dyDescent="0.25">
      <c r="B129" s="209"/>
    </row>
    <row r="130" spans="2:2" x14ac:dyDescent="0.25">
      <c r="B130" s="209"/>
    </row>
    <row r="131" spans="2:2" x14ac:dyDescent="0.25">
      <c r="B131" s="209"/>
    </row>
    <row r="132" spans="2:2" x14ac:dyDescent="0.25">
      <c r="B132" s="209"/>
    </row>
    <row r="133" spans="2:2" x14ac:dyDescent="0.25">
      <c r="B133" s="209"/>
    </row>
    <row r="134" spans="2:2" x14ac:dyDescent="0.25">
      <c r="B134" s="209"/>
    </row>
    <row r="135" spans="2:2" x14ac:dyDescent="0.25">
      <c r="B135" s="209"/>
    </row>
    <row r="136" spans="2:2" x14ac:dyDescent="0.25">
      <c r="B136" s="209"/>
    </row>
    <row r="137" spans="2:2" x14ac:dyDescent="0.25">
      <c r="B137" s="209"/>
    </row>
    <row r="138" spans="2:2" x14ac:dyDescent="0.25">
      <c r="B138" s="209"/>
    </row>
    <row r="139" spans="2:2" x14ac:dyDescent="0.25">
      <c r="B139" s="209"/>
    </row>
    <row r="140" spans="2:2" x14ac:dyDescent="0.25">
      <c r="B140" s="209"/>
    </row>
    <row r="141" spans="2:2" x14ac:dyDescent="0.25">
      <c r="B141" s="209"/>
    </row>
    <row r="142" spans="2:2" x14ac:dyDescent="0.25">
      <c r="B142" s="209"/>
    </row>
    <row r="143" spans="2:2" x14ac:dyDescent="0.25">
      <c r="B143" s="209"/>
    </row>
    <row r="144" spans="2:2" x14ac:dyDescent="0.25">
      <c r="B144" s="209"/>
    </row>
    <row r="145" spans="2:2" x14ac:dyDescent="0.25">
      <c r="B145" s="209"/>
    </row>
    <row r="146" spans="2:2" x14ac:dyDescent="0.25">
      <c r="B146" s="209"/>
    </row>
    <row r="147" spans="2:2" x14ac:dyDescent="0.25">
      <c r="B147" s="209"/>
    </row>
    <row r="148" spans="2:2" x14ac:dyDescent="0.25">
      <c r="B148" s="209"/>
    </row>
    <row r="149" spans="2:2" x14ac:dyDescent="0.25">
      <c r="B149" s="209"/>
    </row>
    <row r="150" spans="2:2" x14ac:dyDescent="0.25">
      <c r="B150" s="209"/>
    </row>
    <row r="151" spans="2:2" x14ac:dyDescent="0.25">
      <c r="B151" s="209"/>
    </row>
    <row r="152" spans="2:2" x14ac:dyDescent="0.25">
      <c r="B152" s="209"/>
    </row>
    <row r="153" spans="2:2" x14ac:dyDescent="0.25">
      <c r="B153" s="209"/>
    </row>
    <row r="154" spans="2:2" x14ac:dyDescent="0.25">
      <c r="B154" s="209"/>
    </row>
    <row r="155" spans="2:2" x14ac:dyDescent="0.25">
      <c r="B155" s="209"/>
    </row>
    <row r="156" spans="2:2" x14ac:dyDescent="0.25">
      <c r="B156" s="209"/>
    </row>
    <row r="157" spans="2:2" x14ac:dyDescent="0.25">
      <c r="B157" s="209"/>
    </row>
    <row r="158" spans="2:2" x14ac:dyDescent="0.25">
      <c r="B158" s="209"/>
    </row>
    <row r="159" spans="2:2" x14ac:dyDescent="0.25">
      <c r="B159" s="209"/>
    </row>
    <row r="160" spans="2:2" x14ac:dyDescent="0.25">
      <c r="B160" s="209"/>
    </row>
    <row r="161" spans="2:2" x14ac:dyDescent="0.25">
      <c r="B161" s="209"/>
    </row>
    <row r="162" spans="2:2" x14ac:dyDescent="0.25">
      <c r="B162" s="209"/>
    </row>
    <row r="163" spans="2:2" x14ac:dyDescent="0.25">
      <c r="B163" s="209"/>
    </row>
    <row r="164" spans="2:2" x14ac:dyDescent="0.25">
      <c r="B164" s="209"/>
    </row>
    <row r="165" spans="2:2" x14ac:dyDescent="0.25">
      <c r="B165" s="209"/>
    </row>
    <row r="166" spans="2:2" x14ac:dyDescent="0.25">
      <c r="B166" s="209"/>
    </row>
    <row r="167" spans="2:2" x14ac:dyDescent="0.25">
      <c r="B167" s="209"/>
    </row>
    <row r="168" spans="2:2" x14ac:dyDescent="0.25">
      <c r="B168" s="209"/>
    </row>
    <row r="169" spans="2:2" x14ac:dyDescent="0.25">
      <c r="B169" s="209"/>
    </row>
    <row r="170" spans="2:2" x14ac:dyDescent="0.25">
      <c r="B170" s="209"/>
    </row>
    <row r="171" spans="2:2" x14ac:dyDescent="0.25">
      <c r="B171" s="209"/>
    </row>
    <row r="172" spans="2:2" x14ac:dyDescent="0.25">
      <c r="B172" s="209"/>
    </row>
    <row r="173" spans="2:2" x14ac:dyDescent="0.25">
      <c r="B173" s="209"/>
    </row>
    <row r="174" spans="2:2" x14ac:dyDescent="0.25">
      <c r="B174" s="209"/>
    </row>
    <row r="175" spans="2:2" x14ac:dyDescent="0.25">
      <c r="B175" s="209"/>
    </row>
    <row r="176" spans="2:2" x14ac:dyDescent="0.25">
      <c r="B176" s="209"/>
    </row>
    <row r="177" spans="2:2" x14ac:dyDescent="0.25">
      <c r="B177" s="209"/>
    </row>
    <row r="178" spans="2:2" x14ac:dyDescent="0.25">
      <c r="B178" s="209"/>
    </row>
    <row r="179" spans="2:2" x14ac:dyDescent="0.25">
      <c r="B179" s="209"/>
    </row>
    <row r="180" spans="2:2" x14ac:dyDescent="0.25">
      <c r="B180" s="209"/>
    </row>
    <row r="181" spans="2:2" x14ac:dyDescent="0.25">
      <c r="B181" s="209"/>
    </row>
    <row r="182" spans="2:2" x14ac:dyDescent="0.25">
      <c r="B182" s="209"/>
    </row>
    <row r="183" spans="2:2" x14ac:dyDescent="0.25">
      <c r="B183" s="209"/>
    </row>
    <row r="184" spans="2:2" x14ac:dyDescent="0.25">
      <c r="B184" s="209"/>
    </row>
    <row r="185" spans="2:2" x14ac:dyDescent="0.25">
      <c r="B185" s="209"/>
    </row>
    <row r="186" spans="2:2" x14ac:dyDescent="0.25">
      <c r="B186" s="209"/>
    </row>
    <row r="187" spans="2:2" x14ac:dyDescent="0.25">
      <c r="B187" s="209"/>
    </row>
    <row r="188" spans="2:2" x14ac:dyDescent="0.25">
      <c r="B188" s="209"/>
    </row>
    <row r="189" spans="2:2" x14ac:dyDescent="0.25">
      <c r="B189" s="209"/>
    </row>
    <row r="190" spans="2:2" x14ac:dyDescent="0.25">
      <c r="B190" s="209"/>
    </row>
    <row r="191" spans="2:2" x14ac:dyDescent="0.25">
      <c r="B191" s="209"/>
    </row>
    <row r="192" spans="2:2" x14ac:dyDescent="0.25">
      <c r="B192" s="209"/>
    </row>
    <row r="193" spans="2:2" x14ac:dyDescent="0.25">
      <c r="B193" s="209"/>
    </row>
    <row r="194" spans="2:2" x14ac:dyDescent="0.25">
      <c r="B194" s="209"/>
    </row>
    <row r="195" spans="2:2" x14ac:dyDescent="0.25">
      <c r="B195" s="209"/>
    </row>
    <row r="196" spans="2:2" x14ac:dyDescent="0.25">
      <c r="B196" s="209"/>
    </row>
    <row r="197" spans="2:2" x14ac:dyDescent="0.25">
      <c r="B197" s="209"/>
    </row>
    <row r="198" spans="2:2" x14ac:dyDescent="0.25">
      <c r="B198" s="209"/>
    </row>
    <row r="199" spans="2:2" x14ac:dyDescent="0.25">
      <c r="B199" s="209"/>
    </row>
    <row r="200" spans="2:2" x14ac:dyDescent="0.25">
      <c r="B200" s="215"/>
    </row>
  </sheetData>
  <mergeCells count="5">
    <mergeCell ref="G4:H16"/>
    <mergeCell ref="G17:H17"/>
    <mergeCell ref="A29:A38"/>
    <mergeCell ref="C42:F44"/>
    <mergeCell ref="H22:N25"/>
  </mergeCells>
  <pageMargins left="0.75" right="0.75" top="1" bottom="1" header="0.51180555555555562" footer="0.51180555555555562"/>
  <pageSetup firstPageNumber="0" orientation="portrait" horizontalDpi="300" verticalDpi="300"/>
  <headerFooter alignWithMargins="0"/>
  <drawing r:id="rId1"/>
  <legacyDrawing r:id="rId2"/>
  <oleObjects>
    <mc:AlternateContent xmlns:mc="http://schemas.openxmlformats.org/markup-compatibility/2006">
      <mc:Choice Requires="x14">
        <oleObject progId="Microsoft Equation 3.0" shapeId="7173" r:id="rId3">
          <objectPr defaultSize="0" autoPict="0" r:id="rId4">
            <anchor moveWithCells="1" sizeWithCells="1">
              <from>
                <xdr:col>5</xdr:col>
                <xdr:colOff>12700</xdr:colOff>
                <xdr:row>31</xdr:row>
                <xdr:rowOff>19050</xdr:rowOff>
              </from>
              <to>
                <xdr:col>9</xdr:col>
                <xdr:colOff>457200</xdr:colOff>
                <xdr:row>33</xdr:row>
                <xdr:rowOff>114300</xdr:rowOff>
              </to>
            </anchor>
          </objectPr>
        </oleObject>
      </mc:Choice>
      <mc:Fallback>
        <oleObject progId="Microsoft Equation 3.0" shapeId="7173" r:id="rId3"/>
      </mc:Fallback>
    </mc:AlternateContent>
  </oleObjec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P74"/>
  <sheetViews>
    <sheetView showGridLines="0" zoomScale="85" zoomScaleNormal="85" workbookViewId="0">
      <selection activeCell="J68" sqref="J68"/>
    </sheetView>
  </sheetViews>
  <sheetFormatPr defaultRowHeight="12.5" x14ac:dyDescent="0.25"/>
  <cols>
    <col min="11" max="11" width="12.453125" customWidth="1"/>
  </cols>
  <sheetData>
    <row r="1" spans="1:16" ht="29.5" x14ac:dyDescent="0.55000000000000004">
      <c r="A1" s="216" t="s">
        <v>324</v>
      </c>
      <c r="M1" s="16"/>
      <c r="N1" s="25"/>
      <c r="O1" s="25"/>
      <c r="P1" s="25"/>
    </row>
    <row r="2" spans="1:16" x14ac:dyDescent="0.25">
      <c r="M2" s="16"/>
      <c r="N2" s="25"/>
      <c r="O2" s="25"/>
      <c r="P2" s="25"/>
    </row>
    <row r="3" spans="1:16" x14ac:dyDescent="0.25">
      <c r="A3" s="404" t="s">
        <v>358</v>
      </c>
      <c r="B3" s="404"/>
      <c r="C3" s="404"/>
      <c r="D3" s="404"/>
      <c r="E3" s="404"/>
      <c r="F3" s="404"/>
      <c r="G3" s="404"/>
      <c r="H3" s="217"/>
      <c r="I3" s="217"/>
      <c r="K3">
        <v>0.91</v>
      </c>
      <c r="M3" s="16" t="s">
        <v>359</v>
      </c>
      <c r="N3" s="25">
        <v>0.73</v>
      </c>
      <c r="O3" s="25"/>
      <c r="P3" s="25"/>
    </row>
    <row r="4" spans="1:16" x14ac:dyDescent="0.25">
      <c r="A4" s="404"/>
      <c r="B4" s="404"/>
      <c r="C4" s="404"/>
      <c r="D4" s="404"/>
      <c r="E4" s="404"/>
      <c r="F4" s="404"/>
      <c r="G4" s="404"/>
      <c r="H4" s="217"/>
      <c r="I4" s="217"/>
      <c r="K4">
        <v>3</v>
      </c>
      <c r="M4" s="16" t="s">
        <v>360</v>
      </c>
      <c r="N4" s="218">
        <f>NORMSDIST(-N3*3)</f>
        <v>1.4262118410668875E-2</v>
      </c>
      <c r="O4" s="219"/>
      <c r="P4" s="219"/>
    </row>
    <row r="5" spans="1:16" x14ac:dyDescent="0.25">
      <c r="A5" s="404"/>
      <c r="B5" s="404"/>
      <c r="C5" s="404"/>
      <c r="D5" s="404"/>
      <c r="E5" s="404"/>
      <c r="F5" s="404"/>
      <c r="G5" s="404"/>
      <c r="H5" s="217"/>
      <c r="I5" s="217"/>
      <c r="K5">
        <f>SUM(K3*K4)</f>
        <v>2.73</v>
      </c>
      <c r="M5" s="16" t="s">
        <v>361</v>
      </c>
      <c r="N5" s="25"/>
      <c r="O5" s="25"/>
      <c r="P5" s="25"/>
    </row>
    <row r="6" spans="1:16" x14ac:dyDescent="0.25">
      <c r="A6" s="404"/>
      <c r="B6" s="404"/>
      <c r="C6" s="404"/>
      <c r="D6" s="404"/>
      <c r="E6" s="404"/>
      <c r="F6" s="404"/>
      <c r="G6" s="404"/>
      <c r="H6" s="217"/>
      <c r="I6" s="217"/>
      <c r="M6" s="16"/>
      <c r="N6" s="25"/>
      <c r="O6" s="25"/>
      <c r="P6" s="25"/>
    </row>
    <row r="7" spans="1:16" x14ac:dyDescent="0.25">
      <c r="A7" s="404"/>
      <c r="B7" s="404"/>
      <c r="C7" s="404"/>
      <c r="D7" s="404"/>
      <c r="E7" s="404"/>
      <c r="F7" s="404"/>
      <c r="G7" s="404"/>
      <c r="H7" s="217"/>
      <c r="I7" s="217"/>
      <c r="M7" s="16"/>
      <c r="N7" s="25"/>
      <c r="O7" s="25"/>
      <c r="P7" s="25"/>
    </row>
    <row r="8" spans="1:16" x14ac:dyDescent="0.25">
      <c r="A8" s="404"/>
      <c r="B8" s="404"/>
      <c r="C8" s="404"/>
      <c r="D8" s="404"/>
      <c r="E8" s="404"/>
      <c r="F8" s="404"/>
      <c r="G8" s="404"/>
      <c r="H8" s="217"/>
      <c r="I8" s="217"/>
      <c r="K8">
        <f>NORMSDIST(-2.73)</f>
        <v>3.1667162773577947E-3</v>
      </c>
      <c r="M8" s="16"/>
      <c r="N8" s="25"/>
      <c r="O8" s="25"/>
      <c r="P8" s="25"/>
    </row>
    <row r="9" spans="1:16" x14ac:dyDescent="0.25">
      <c r="A9" s="404"/>
      <c r="B9" s="404"/>
      <c r="C9" s="404"/>
      <c r="D9" s="404"/>
      <c r="E9" s="404"/>
      <c r="F9" s="404"/>
      <c r="G9" s="404"/>
      <c r="H9" s="217"/>
      <c r="I9" s="217"/>
      <c r="M9" s="16"/>
      <c r="N9" s="25"/>
      <c r="O9" s="25"/>
      <c r="P9" s="25"/>
    </row>
    <row r="10" spans="1:16" x14ac:dyDescent="0.25">
      <c r="A10" s="217"/>
      <c r="B10" s="217"/>
      <c r="C10" s="217"/>
      <c r="D10" s="217"/>
      <c r="E10" s="217"/>
      <c r="F10" s="217"/>
      <c r="G10" s="217"/>
      <c r="H10" s="217"/>
      <c r="I10" s="217"/>
      <c r="M10" s="16"/>
      <c r="N10" s="25"/>
      <c r="O10" s="25"/>
      <c r="P10" s="25"/>
    </row>
    <row r="11" spans="1:16" x14ac:dyDescent="0.25">
      <c r="A11" s="217"/>
      <c r="B11" s="217"/>
      <c r="C11" s="217"/>
      <c r="D11" s="217"/>
      <c r="E11" s="217"/>
      <c r="F11" s="217"/>
      <c r="G11" s="217"/>
      <c r="H11" s="217"/>
      <c r="I11" s="217"/>
      <c r="K11" s="220">
        <f>NORMSDIST(-1.33*3)</f>
        <v>3.3036647629402356E-5</v>
      </c>
      <c r="M11" s="16"/>
      <c r="N11" s="25"/>
      <c r="O11" s="25"/>
      <c r="P11" s="25"/>
    </row>
    <row r="12" spans="1:16" x14ac:dyDescent="0.25">
      <c r="A12" s="404" t="s">
        <v>362</v>
      </c>
      <c r="B12" s="404"/>
      <c r="C12" s="404"/>
      <c r="D12" s="404"/>
      <c r="E12" s="404"/>
      <c r="F12" s="404"/>
      <c r="G12" s="404"/>
      <c r="H12" s="217"/>
      <c r="I12" s="217"/>
      <c r="M12" s="16"/>
      <c r="N12" s="25"/>
      <c r="O12" s="25"/>
      <c r="P12" s="25"/>
    </row>
    <row r="13" spans="1:16" x14ac:dyDescent="0.25">
      <c r="A13" s="404"/>
      <c r="B13" s="404"/>
      <c r="C13" s="404"/>
      <c r="D13" s="404"/>
      <c r="E13" s="404"/>
      <c r="F13" s="404"/>
      <c r="G13" s="404"/>
      <c r="H13" s="217"/>
      <c r="I13" s="217"/>
      <c r="M13" s="16"/>
      <c r="N13" s="25"/>
      <c r="O13" s="25"/>
      <c r="P13" s="25"/>
    </row>
    <row r="14" spans="1:16" x14ac:dyDescent="0.25">
      <c r="A14" s="404"/>
      <c r="B14" s="404"/>
      <c r="C14" s="404"/>
      <c r="D14" s="404"/>
      <c r="E14" s="404"/>
      <c r="F14" s="404"/>
      <c r="G14" s="404"/>
      <c r="H14" s="217"/>
      <c r="I14" s="217"/>
      <c r="K14">
        <f>NORMSDIST(-3)</f>
        <v>1.3498980316300933E-3</v>
      </c>
      <c r="M14" s="16"/>
      <c r="N14" s="25"/>
      <c r="O14" s="25"/>
      <c r="P14" s="25"/>
    </row>
    <row r="15" spans="1:16" x14ac:dyDescent="0.25">
      <c r="A15" s="404"/>
      <c r="B15" s="404"/>
      <c r="C15" s="404"/>
      <c r="D15" s="404"/>
      <c r="E15" s="404"/>
      <c r="F15" s="404"/>
      <c r="G15" s="404"/>
      <c r="H15" s="217"/>
      <c r="I15" s="217"/>
      <c r="M15" s="16"/>
      <c r="N15" s="25"/>
      <c r="O15" s="25"/>
      <c r="P15" s="25"/>
    </row>
    <row r="16" spans="1:16" x14ac:dyDescent="0.25">
      <c r="A16" s="404"/>
      <c r="B16" s="404"/>
      <c r="C16" s="404"/>
      <c r="D16" s="404"/>
      <c r="E16" s="404"/>
      <c r="F16" s="404"/>
      <c r="G16" s="404"/>
      <c r="H16" s="217"/>
      <c r="I16" s="217"/>
      <c r="M16" s="16"/>
      <c r="N16" s="25"/>
      <c r="O16" s="25"/>
      <c r="P16" s="25"/>
    </row>
    <row r="17" spans="1:16" x14ac:dyDescent="0.25">
      <c r="A17" s="404"/>
      <c r="B17" s="404"/>
      <c r="C17" s="404"/>
      <c r="D17" s="404"/>
      <c r="E17" s="404"/>
      <c r="F17" s="404"/>
      <c r="G17" s="404"/>
      <c r="H17" s="217"/>
      <c r="I17" s="217"/>
      <c r="M17" s="16"/>
      <c r="N17" s="25"/>
      <c r="O17" s="25"/>
      <c r="P17" s="25"/>
    </row>
    <row r="18" spans="1:16" x14ac:dyDescent="0.25">
      <c r="A18" s="404"/>
      <c r="B18" s="404"/>
      <c r="C18" s="404"/>
      <c r="D18" s="404"/>
      <c r="E18" s="404"/>
      <c r="F18" s="404"/>
      <c r="G18" s="404"/>
      <c r="H18" s="217"/>
      <c r="I18" s="217"/>
      <c r="L18" s="119" t="s">
        <v>363</v>
      </c>
      <c r="M18" s="153" t="s">
        <v>364</v>
      </c>
      <c r="N18" s="25"/>
      <c r="O18" s="25"/>
      <c r="P18" s="25"/>
    </row>
    <row r="19" spans="1:16" x14ac:dyDescent="0.25">
      <c r="A19" s="217"/>
      <c r="B19" s="217"/>
      <c r="C19" s="217"/>
      <c r="D19" s="217"/>
      <c r="E19" s="217"/>
      <c r="F19" s="217"/>
      <c r="G19" s="217"/>
      <c r="H19" s="217"/>
      <c r="I19" s="217"/>
      <c r="J19" s="16" t="s">
        <v>365</v>
      </c>
      <c r="K19" t="s">
        <v>366</v>
      </c>
      <c r="L19" t="s">
        <v>367</v>
      </c>
      <c r="M19" s="16" t="s">
        <v>368</v>
      </c>
      <c r="N19" s="25"/>
      <c r="O19" s="25"/>
      <c r="P19" s="25"/>
    </row>
    <row r="20" spans="1:16" x14ac:dyDescent="0.25">
      <c r="M20" s="16"/>
      <c r="N20" s="25"/>
      <c r="O20" s="25"/>
      <c r="P20" s="25"/>
    </row>
    <row r="21" spans="1:16" x14ac:dyDescent="0.25">
      <c r="A21" s="404" t="s">
        <v>369</v>
      </c>
      <c r="B21" s="404"/>
      <c r="C21" s="404"/>
      <c r="D21" s="404"/>
      <c r="E21" s="404"/>
      <c r="F21" s="404"/>
      <c r="G21" s="404"/>
      <c r="H21" s="217"/>
      <c r="I21" s="217"/>
      <c r="M21" s="16"/>
      <c r="N21" s="25"/>
      <c r="O21" s="25"/>
      <c r="P21" s="25"/>
    </row>
    <row r="22" spans="1:16" x14ac:dyDescent="0.25">
      <c r="A22" s="404"/>
      <c r="B22" s="404"/>
      <c r="C22" s="404"/>
      <c r="D22" s="404"/>
      <c r="E22" s="404"/>
      <c r="F22" s="404"/>
      <c r="G22" s="404"/>
      <c r="H22" s="217"/>
      <c r="I22" s="217"/>
      <c r="M22" s="16"/>
      <c r="N22" s="25"/>
      <c r="O22" s="25"/>
      <c r="P22" s="25"/>
    </row>
    <row r="23" spans="1:16" x14ac:dyDescent="0.25">
      <c r="A23" s="404"/>
      <c r="B23" s="404"/>
      <c r="C23" s="404"/>
      <c r="D23" s="404"/>
      <c r="E23" s="404"/>
      <c r="F23" s="404"/>
      <c r="G23" s="404"/>
      <c r="H23" s="217"/>
      <c r="I23" s="217"/>
      <c r="J23" s="16" t="s">
        <v>370</v>
      </c>
      <c r="K23" s="25">
        <v>73.400000000000006</v>
      </c>
      <c r="L23">
        <v>89</v>
      </c>
      <c r="M23" s="16"/>
      <c r="N23" s="25"/>
      <c r="O23" s="25"/>
      <c r="P23" s="25"/>
    </row>
    <row r="24" spans="1:16" x14ac:dyDescent="0.25">
      <c r="A24" s="404"/>
      <c r="B24" s="404"/>
      <c r="C24" s="404"/>
      <c r="D24" s="404"/>
      <c r="E24" s="404"/>
      <c r="F24" s="404"/>
      <c r="G24" s="404"/>
      <c r="H24" s="217"/>
      <c r="I24" s="217"/>
      <c r="J24" s="16" t="s">
        <v>371</v>
      </c>
      <c r="K24" s="25">
        <v>89.6</v>
      </c>
      <c r="M24" s="16"/>
      <c r="N24" s="25"/>
      <c r="O24" s="25"/>
      <c r="P24" s="25"/>
    </row>
    <row r="25" spans="1:16" x14ac:dyDescent="0.25">
      <c r="A25" s="404"/>
      <c r="B25" s="404"/>
      <c r="C25" s="404"/>
      <c r="D25" s="404"/>
      <c r="E25" s="404"/>
      <c r="F25" s="404"/>
      <c r="G25" s="404"/>
      <c r="H25" s="217"/>
      <c r="I25" s="217"/>
      <c r="J25" s="16" t="s">
        <v>372</v>
      </c>
      <c r="K25" s="25" t="s">
        <v>373</v>
      </c>
      <c r="M25" s="16"/>
      <c r="N25" s="25"/>
      <c r="O25" s="25"/>
      <c r="P25" s="25"/>
    </row>
    <row r="26" spans="1:16" x14ac:dyDescent="0.25">
      <c r="A26" s="404"/>
      <c r="B26" s="404"/>
      <c r="C26" s="404"/>
      <c r="D26" s="404"/>
      <c r="E26" s="404"/>
      <c r="F26" s="404"/>
      <c r="G26" s="404"/>
      <c r="H26" s="217"/>
      <c r="I26" s="217"/>
      <c r="J26" s="16" t="s">
        <v>331</v>
      </c>
      <c r="K26" s="25">
        <v>1.67</v>
      </c>
      <c r="M26" s="16"/>
      <c r="N26" s="25"/>
      <c r="O26" s="25"/>
      <c r="P26" s="25"/>
    </row>
    <row r="27" spans="1:16" x14ac:dyDescent="0.25">
      <c r="A27" s="404"/>
      <c r="B27" s="404"/>
      <c r="C27" s="404"/>
      <c r="D27" s="404"/>
      <c r="E27" s="404"/>
      <c r="F27" s="404"/>
      <c r="G27" s="404"/>
      <c r="H27" s="217"/>
      <c r="I27" s="217"/>
      <c r="J27" s="16" t="s">
        <v>374</v>
      </c>
      <c r="M27" s="16"/>
      <c r="N27" s="25"/>
      <c r="O27" s="25"/>
      <c r="P27" s="25"/>
    </row>
    <row r="28" spans="1:16" x14ac:dyDescent="0.25">
      <c r="A28" s="404"/>
      <c r="B28" s="404"/>
      <c r="C28" s="404"/>
      <c r="D28" s="404"/>
      <c r="E28" s="404"/>
      <c r="F28" s="404"/>
      <c r="G28" s="404"/>
      <c r="H28" s="217"/>
      <c r="I28" s="217"/>
      <c r="M28" s="16"/>
      <c r="N28" s="25"/>
      <c r="O28" s="25"/>
      <c r="P28" s="25"/>
    </row>
    <row r="29" spans="1:16" x14ac:dyDescent="0.25">
      <c r="A29" s="404"/>
      <c r="B29" s="404"/>
      <c r="C29" s="404"/>
      <c r="D29" s="404"/>
      <c r="E29" s="404"/>
      <c r="F29" s="404"/>
      <c r="G29" s="404"/>
      <c r="H29" s="217"/>
      <c r="I29" s="217"/>
      <c r="M29" s="16"/>
      <c r="N29" s="25"/>
      <c r="O29" s="25"/>
      <c r="P29" s="25"/>
    </row>
    <row r="30" spans="1:16" x14ac:dyDescent="0.25">
      <c r="A30" s="404"/>
      <c r="B30" s="404"/>
      <c r="C30" s="404"/>
      <c r="D30" s="404"/>
      <c r="E30" s="404"/>
      <c r="F30" s="404"/>
      <c r="G30" s="404"/>
      <c r="H30" s="217"/>
      <c r="I30" s="217"/>
      <c r="J30" t="s">
        <v>375</v>
      </c>
      <c r="M30" s="16"/>
      <c r="N30" s="25"/>
      <c r="O30" s="25"/>
      <c r="P30" s="25"/>
    </row>
    <row r="31" spans="1:16" x14ac:dyDescent="0.25">
      <c r="A31" s="217"/>
      <c r="B31" s="217"/>
      <c r="C31" s="217"/>
      <c r="D31" s="217"/>
      <c r="E31" s="217"/>
      <c r="F31" s="217"/>
      <c r="G31" s="217"/>
      <c r="H31" s="217"/>
      <c r="I31" s="217"/>
      <c r="M31" s="16"/>
      <c r="N31" s="25"/>
      <c r="O31" s="25"/>
      <c r="P31" s="25"/>
    </row>
    <row r="32" spans="1:16" x14ac:dyDescent="0.25">
      <c r="A32" s="217"/>
      <c r="B32" s="217"/>
      <c r="C32" s="217"/>
      <c r="D32" s="217"/>
      <c r="E32" s="217"/>
      <c r="F32" s="217"/>
      <c r="G32" s="217"/>
      <c r="H32" s="217"/>
      <c r="I32" s="217"/>
      <c r="J32" t="s">
        <v>376</v>
      </c>
      <c r="M32" s="16"/>
      <c r="N32" s="25"/>
      <c r="O32" s="25"/>
      <c r="P32" s="25"/>
    </row>
    <row r="33" spans="1:16" x14ac:dyDescent="0.25">
      <c r="A33" s="217"/>
      <c r="B33" s="217"/>
      <c r="C33" s="217"/>
      <c r="D33" s="217"/>
      <c r="E33" s="217"/>
      <c r="F33" s="217"/>
      <c r="G33" s="217"/>
      <c r="H33" s="217"/>
      <c r="I33" s="217"/>
      <c r="M33" s="16"/>
      <c r="N33" s="25"/>
      <c r="O33" s="25"/>
      <c r="P33" s="25"/>
    </row>
    <row r="34" spans="1:16" x14ac:dyDescent="0.25">
      <c r="A34" s="217"/>
      <c r="B34" s="217"/>
      <c r="C34" s="217"/>
      <c r="D34" s="217"/>
      <c r="E34" s="217"/>
      <c r="F34" s="217"/>
      <c r="G34" s="217"/>
      <c r="H34" s="217"/>
      <c r="I34" s="217"/>
      <c r="J34" t="s">
        <v>377</v>
      </c>
      <c r="M34" s="16"/>
      <c r="N34" s="25"/>
      <c r="O34" s="25"/>
      <c r="P34" s="25"/>
    </row>
    <row r="35" spans="1:16" x14ac:dyDescent="0.25">
      <c r="M35" s="16"/>
      <c r="N35" s="25"/>
      <c r="O35" s="25"/>
      <c r="P35" s="25"/>
    </row>
    <row r="36" spans="1:16" x14ac:dyDescent="0.25">
      <c r="J36" t="s">
        <v>378</v>
      </c>
      <c r="M36" s="16"/>
      <c r="N36" s="25"/>
      <c r="O36" s="25"/>
      <c r="P36" s="25"/>
    </row>
    <row r="37" spans="1:16" x14ac:dyDescent="0.25">
      <c r="M37" s="16"/>
      <c r="N37" s="25"/>
      <c r="O37" s="25"/>
      <c r="P37" s="25"/>
    </row>
    <row r="38" spans="1:16" x14ac:dyDescent="0.25">
      <c r="M38" s="16"/>
      <c r="N38" s="25"/>
      <c r="O38" s="25"/>
      <c r="P38" s="25"/>
    </row>
    <row r="40" spans="1:16" x14ac:dyDescent="0.25">
      <c r="J40" s="221" t="s">
        <v>379</v>
      </c>
    </row>
    <row r="41" spans="1:16" x14ac:dyDescent="0.25">
      <c r="J41" s="32" t="s">
        <v>380</v>
      </c>
    </row>
    <row r="43" spans="1:16" x14ac:dyDescent="0.25">
      <c r="J43">
        <v>150</v>
      </c>
      <c r="L43">
        <f>EXP(-200/50)</f>
        <v>1.8315638888734179E-2</v>
      </c>
      <c r="M43" t="s">
        <v>381</v>
      </c>
    </row>
    <row r="44" spans="1:16" x14ac:dyDescent="0.25">
      <c r="J44">
        <v>50</v>
      </c>
    </row>
    <row r="45" spans="1:16" x14ac:dyDescent="0.25">
      <c r="J45">
        <v>150</v>
      </c>
    </row>
    <row r="47" spans="1:16" ht="13" x14ac:dyDescent="0.3">
      <c r="A47" s="213" t="s">
        <v>354</v>
      </c>
      <c r="J47">
        <f>SUM(J43-J44)/J45</f>
        <v>0.66666666666666663</v>
      </c>
    </row>
    <row r="49" spans="1:10" x14ac:dyDescent="0.25">
      <c r="A49" s="404" t="s">
        <v>355</v>
      </c>
      <c r="B49" s="404"/>
      <c r="C49" s="404"/>
      <c r="D49" s="404"/>
      <c r="E49" s="404"/>
      <c r="F49" s="404"/>
      <c r="G49" s="404"/>
    </row>
    <row r="50" spans="1:10" x14ac:dyDescent="0.25">
      <c r="A50" s="404"/>
      <c r="B50" s="404"/>
      <c r="C50" s="404"/>
      <c r="D50" s="404"/>
      <c r="E50" s="404"/>
      <c r="F50" s="404"/>
      <c r="G50" s="404"/>
    </row>
    <row r="51" spans="1:10" x14ac:dyDescent="0.25">
      <c r="A51" s="404"/>
      <c r="B51" s="404"/>
      <c r="C51" s="404"/>
      <c r="D51" s="404"/>
      <c r="E51" s="404"/>
      <c r="F51" s="404"/>
      <c r="G51" s="404"/>
    </row>
    <row r="52" spans="1:10" x14ac:dyDescent="0.25">
      <c r="A52" s="404"/>
      <c r="B52" s="404"/>
      <c r="C52" s="404"/>
      <c r="D52" s="404"/>
      <c r="E52" s="404"/>
      <c r="F52" s="404"/>
      <c r="G52" s="404"/>
    </row>
    <row r="53" spans="1:10" x14ac:dyDescent="0.25">
      <c r="A53" s="404"/>
      <c r="B53" s="404"/>
      <c r="C53" s="404"/>
      <c r="D53" s="404"/>
      <c r="E53" s="404"/>
      <c r="F53" s="404"/>
      <c r="G53" s="404"/>
    </row>
    <row r="54" spans="1:10" x14ac:dyDescent="0.25">
      <c r="A54" s="404"/>
      <c r="B54" s="404"/>
      <c r="C54" s="404"/>
      <c r="D54" s="404"/>
      <c r="E54" s="404"/>
      <c r="F54" s="404"/>
      <c r="G54" s="404"/>
    </row>
    <row r="56" spans="1:10" ht="13" x14ac:dyDescent="0.3">
      <c r="A56" s="213" t="s">
        <v>356</v>
      </c>
    </row>
    <row r="58" spans="1:10" x14ac:dyDescent="0.25">
      <c r="A58" t="s">
        <v>357</v>
      </c>
    </row>
    <row r="62" spans="1:10" x14ac:dyDescent="0.25">
      <c r="J62" t="s">
        <v>382</v>
      </c>
    </row>
    <row r="69" spans="3:4" x14ac:dyDescent="0.25">
      <c r="C69" s="16" t="s">
        <v>329</v>
      </c>
      <c r="D69" s="222">
        <f>400/25</f>
        <v>16</v>
      </c>
    </row>
    <row r="70" spans="3:4" x14ac:dyDescent="0.25">
      <c r="C70" s="16" t="s">
        <v>208</v>
      </c>
      <c r="D70" s="223">
        <v>1.8</v>
      </c>
    </row>
    <row r="71" spans="3:4" x14ac:dyDescent="0.25">
      <c r="C71" s="16" t="s">
        <v>332</v>
      </c>
      <c r="D71" s="223">
        <v>8</v>
      </c>
    </row>
    <row r="72" spans="3:4" x14ac:dyDescent="0.25">
      <c r="C72" s="16" t="s">
        <v>333</v>
      </c>
      <c r="D72" s="224">
        <v>20</v>
      </c>
    </row>
    <row r="73" spans="3:4" x14ac:dyDescent="0.25">
      <c r="C73" s="16" t="s">
        <v>335</v>
      </c>
      <c r="D73" s="225">
        <f>(D72-D71)/(6*D70)</f>
        <v>1.1111111111111109</v>
      </c>
    </row>
    <row r="74" spans="3:4" x14ac:dyDescent="0.25">
      <c r="C74" s="16" t="s">
        <v>331</v>
      </c>
      <c r="D74" s="60">
        <f>MIN((D72-D69)/(3*D70),(D69-D71)/(3*D70))</f>
        <v>0.7407407407407407</v>
      </c>
    </row>
  </sheetData>
  <mergeCells count="4">
    <mergeCell ref="A3:G9"/>
    <mergeCell ref="A12:G18"/>
    <mergeCell ref="A21:G30"/>
    <mergeCell ref="A49:G54"/>
  </mergeCells>
  <pageMargins left="0.75" right="0.75" top="1" bottom="1" header="0.51180555555555562" footer="0.51180555555555562"/>
  <pageSetup firstPageNumber="0" orientation="portrait" horizontalDpi="300" verticalDpi="300"/>
  <headerFooter alignWithMargins="0"/>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H633"/>
  <sheetViews>
    <sheetView showGridLines="0" zoomScale="85" zoomScaleNormal="85" workbookViewId="0">
      <selection activeCell="A21" sqref="A21"/>
    </sheetView>
  </sheetViews>
  <sheetFormatPr defaultRowHeight="12.5" x14ac:dyDescent="0.25"/>
  <cols>
    <col min="6" max="6" width="11.7265625" customWidth="1"/>
    <col min="7" max="7" width="21.54296875" customWidth="1"/>
    <col min="9" max="9" width="12.08984375" customWidth="1"/>
    <col min="25" max="25" width="12.26953125" customWidth="1"/>
    <col min="26" max="35" width="9.08984375" customWidth="1"/>
  </cols>
  <sheetData>
    <row r="1" spans="1:30" ht="20" x14ac:dyDescent="0.4">
      <c r="D1" s="19"/>
      <c r="E1" s="19"/>
      <c r="F1" s="226" t="s">
        <v>383</v>
      </c>
      <c r="G1" s="19"/>
    </row>
    <row r="2" spans="1:30" ht="13" x14ac:dyDescent="0.3">
      <c r="G2" s="23" t="s">
        <v>384</v>
      </c>
    </row>
    <row r="3" spans="1:30" ht="13" x14ac:dyDescent="0.3">
      <c r="G3" s="23" t="s">
        <v>385</v>
      </c>
    </row>
    <row r="4" spans="1:30" ht="13" x14ac:dyDescent="0.3">
      <c r="G4" s="23" t="s">
        <v>386</v>
      </c>
    </row>
    <row r="5" spans="1:30" ht="20" x14ac:dyDescent="0.4">
      <c r="A5" s="227" t="s">
        <v>387</v>
      </c>
      <c r="B5" s="88"/>
      <c r="C5" s="88"/>
      <c r="D5" s="88"/>
      <c r="E5" s="34"/>
      <c r="F5" s="34"/>
      <c r="G5" s="34"/>
      <c r="H5" s="34"/>
      <c r="I5" s="34"/>
      <c r="J5" s="34"/>
      <c r="K5" s="34"/>
    </row>
    <row r="6" spans="1:30" x14ac:dyDescent="0.25">
      <c r="A6" s="129"/>
      <c r="B6" s="162" t="s">
        <v>0</v>
      </c>
      <c r="C6" s="129"/>
    </row>
    <row r="7" spans="1:30" ht="13" x14ac:dyDescent="0.3">
      <c r="A7" s="115"/>
      <c r="B7" s="228" t="s">
        <v>2</v>
      </c>
      <c r="C7" s="115"/>
    </row>
    <row r="9" spans="1:30" ht="18" x14ac:dyDescent="0.4">
      <c r="G9" s="229" t="s">
        <v>388</v>
      </c>
      <c r="H9" s="230">
        <f>+H10^2</f>
        <v>0.76169622254400293</v>
      </c>
      <c r="I9" s="231" t="s">
        <v>389</v>
      </c>
      <c r="J9" s="231"/>
      <c r="X9" s="139"/>
      <c r="Y9" s="405" t="s">
        <v>390</v>
      </c>
      <c r="Z9" s="405"/>
      <c r="AA9" s="405"/>
      <c r="AB9" s="405"/>
      <c r="AC9" s="405"/>
      <c r="AD9" s="405"/>
    </row>
    <row r="10" spans="1:30" ht="12.75" customHeight="1" x14ac:dyDescent="0.35">
      <c r="A10" s="7" t="s">
        <v>391</v>
      </c>
      <c r="B10" s="7" t="s">
        <v>392</v>
      </c>
      <c r="C10" s="7" t="s">
        <v>393</v>
      </c>
      <c r="D10" s="7" t="s">
        <v>394</v>
      </c>
      <c r="E10" s="7" t="s">
        <v>395</v>
      </c>
      <c r="G10" s="229" t="s">
        <v>396</v>
      </c>
      <c r="H10" s="230">
        <f>CORREL(B11:B66,A11:A66)</f>
        <v>-0.87275209684308575</v>
      </c>
      <c r="I10" s="115" t="s">
        <v>397</v>
      </c>
      <c r="J10" s="115"/>
      <c r="L10" s="16"/>
      <c r="Y10" s="19" t="s">
        <v>398</v>
      </c>
      <c r="Z10" s="19"/>
      <c r="AA10" s="19"/>
      <c r="AB10" s="19"/>
      <c r="AC10" s="19"/>
      <c r="AD10" s="19"/>
    </row>
    <row r="11" spans="1:30" x14ac:dyDescent="0.25">
      <c r="A11" s="69">
        <v>71.3</v>
      </c>
      <c r="B11" s="69">
        <v>54.496420000000001</v>
      </c>
      <c r="C11" s="70">
        <f t="shared" ref="C11:D26" si="0">+A11^2</f>
        <v>5083.6899999999996</v>
      </c>
      <c r="D11" s="70">
        <f t="shared" si="0"/>
        <v>2969.8597928163999</v>
      </c>
      <c r="E11" s="70">
        <f t="shared" ref="E11:E66" si="1">+A11*B11</f>
        <v>3885.5947459999998</v>
      </c>
      <c r="G11" s="7" t="s">
        <v>399</v>
      </c>
      <c r="H11" s="43">
        <f>SLOPE(B11:B65,A11:A65)</f>
        <v>-5.0742068455598455</v>
      </c>
      <c r="I11" s="115" t="s">
        <v>400</v>
      </c>
      <c r="J11" s="115"/>
      <c r="Y11" s="19"/>
      <c r="Z11" s="19"/>
      <c r="AA11" s="19"/>
      <c r="AB11" s="19"/>
      <c r="AC11" s="19"/>
      <c r="AD11" s="5"/>
    </row>
    <row r="12" spans="1:30" x14ac:dyDescent="0.25">
      <c r="A12" s="69">
        <v>77.2</v>
      </c>
      <c r="B12" s="69">
        <v>26.75404</v>
      </c>
      <c r="C12" s="70">
        <f t="shared" si="0"/>
        <v>5959.84</v>
      </c>
      <c r="D12" s="70">
        <f t="shared" si="0"/>
        <v>715.77865632160001</v>
      </c>
      <c r="E12" s="70">
        <f t="shared" si="1"/>
        <v>2065.4118880000001</v>
      </c>
      <c r="G12" s="7" t="s">
        <v>401</v>
      </c>
      <c r="H12" s="43">
        <f>INTERCEPT(B11:B65,A11:A65)</f>
        <v>418.68925464855215</v>
      </c>
      <c r="I12" s="232" t="s">
        <v>402</v>
      </c>
      <c r="J12" s="8">
        <v>58.9</v>
      </c>
      <c r="Y12" s="19" t="s">
        <v>403</v>
      </c>
      <c r="Z12" s="19"/>
      <c r="AA12" s="19"/>
      <c r="AB12" s="19"/>
      <c r="AC12" s="19"/>
      <c r="AD12" s="5"/>
    </row>
    <row r="13" spans="1:30" x14ac:dyDescent="0.25">
      <c r="A13" s="69">
        <v>80.3</v>
      </c>
      <c r="B13" s="69">
        <v>-0.99919709999999995</v>
      </c>
      <c r="C13" s="70">
        <f t="shared" si="0"/>
        <v>6448.0899999999992</v>
      </c>
      <c r="D13" s="70">
        <f t="shared" si="0"/>
        <v>0.99839484464840988</v>
      </c>
      <c r="E13" s="70">
        <f t="shared" si="1"/>
        <v>-80.235527129999994</v>
      </c>
      <c r="G13" s="7" t="s">
        <v>404</v>
      </c>
      <c r="H13" s="43">
        <f>+C67-(A67^2)/COUNT(A11:A65)</f>
        <v>46.619999999995343</v>
      </c>
      <c r="I13" s="232" t="s">
        <v>405</v>
      </c>
      <c r="J13" s="43">
        <f>H11*J12+H12</f>
        <v>119.81847144507725</v>
      </c>
      <c r="K13" s="115" t="s">
        <v>406</v>
      </c>
      <c r="L13" s="115"/>
      <c r="M13" s="115"/>
      <c r="Y13" s="19" t="s">
        <v>407</v>
      </c>
      <c r="Z13" s="19"/>
      <c r="AA13" s="19"/>
      <c r="AB13" s="19"/>
      <c r="AC13" s="19"/>
      <c r="AD13" s="5"/>
    </row>
    <row r="14" spans="1:30" x14ac:dyDescent="0.25">
      <c r="A14" s="69">
        <v>78.8</v>
      </c>
      <c r="B14" s="69">
        <v>33.679729999999999</v>
      </c>
      <c r="C14" s="70">
        <f t="shared" si="0"/>
        <v>6209.44</v>
      </c>
      <c r="D14" s="70">
        <f t="shared" si="0"/>
        <v>1134.3242128729</v>
      </c>
      <c r="E14" s="70">
        <f t="shared" si="1"/>
        <v>2653.962724</v>
      </c>
      <c r="G14" s="7" t="s">
        <v>408</v>
      </c>
      <c r="H14" s="43">
        <f>+D67-(B67^2)/COUNT(A11:A65)</f>
        <v>1575.893271060585</v>
      </c>
      <c r="I14" s="16" t="s">
        <v>409</v>
      </c>
      <c r="J14" t="s">
        <v>389</v>
      </c>
      <c r="Y14" s="19" t="s">
        <v>410</v>
      </c>
      <c r="Z14" s="19"/>
      <c r="AA14" s="19"/>
      <c r="AB14" s="19"/>
      <c r="AC14" s="19"/>
      <c r="AD14" s="5"/>
    </row>
    <row r="15" spans="1:30" x14ac:dyDescent="0.25">
      <c r="A15" s="69"/>
      <c r="B15" s="69"/>
      <c r="C15" s="70">
        <f t="shared" si="0"/>
        <v>0</v>
      </c>
      <c r="D15" s="70">
        <f t="shared" si="0"/>
        <v>0</v>
      </c>
      <c r="E15" s="70">
        <f t="shared" si="1"/>
        <v>0</v>
      </c>
      <c r="G15" s="7" t="s">
        <v>411</v>
      </c>
      <c r="H15" s="43">
        <f>+E67-(A67*B67)/COUNT(A11:A65)</f>
        <v>-236.55952314000388</v>
      </c>
      <c r="Y15" s="19" t="s">
        <v>412</v>
      </c>
      <c r="Z15" s="19"/>
      <c r="AA15" s="19"/>
      <c r="AB15" s="19"/>
      <c r="AC15" s="19"/>
      <c r="AD15" s="5"/>
    </row>
    <row r="16" spans="1:30" x14ac:dyDescent="0.25">
      <c r="A16" s="69"/>
      <c r="B16" s="69"/>
      <c r="C16" s="70">
        <f t="shared" si="0"/>
        <v>0</v>
      </c>
      <c r="D16" s="70">
        <f t="shared" si="0"/>
        <v>0</v>
      </c>
      <c r="E16" s="70">
        <f t="shared" si="1"/>
        <v>0</v>
      </c>
      <c r="G16" s="7" t="s">
        <v>295</v>
      </c>
      <c r="H16" s="43">
        <f>((H14-H11*H15)/(COUNT(A11:A65)-2))^0.5</f>
        <v>13.70294346775912</v>
      </c>
      <c r="M16" s="233" t="s">
        <v>116</v>
      </c>
      <c r="N16" s="233" t="s">
        <v>117</v>
      </c>
      <c r="O16" s="233" t="s">
        <v>118</v>
      </c>
      <c r="P16" s="233" t="s">
        <v>119</v>
      </c>
      <c r="Q16" s="233" t="s">
        <v>120</v>
      </c>
      <c r="R16" s="233" t="s">
        <v>122</v>
      </c>
      <c r="S16" s="233"/>
      <c r="T16" s="233"/>
      <c r="U16" s="233"/>
      <c r="V16" s="233"/>
      <c r="W16" s="233"/>
      <c r="X16" s="233"/>
      <c r="Y16" s="19" t="s">
        <v>413</v>
      </c>
      <c r="Z16" s="19"/>
      <c r="AA16" s="19"/>
      <c r="AB16" s="19"/>
      <c r="AC16" s="19"/>
      <c r="AD16" s="5"/>
    </row>
    <row r="17" spans="1:34" ht="13" x14ac:dyDescent="0.3">
      <c r="A17" s="69"/>
      <c r="B17" s="69"/>
      <c r="C17" s="70">
        <f t="shared" si="0"/>
        <v>0</v>
      </c>
      <c r="D17" s="70">
        <f t="shared" si="0"/>
        <v>0</v>
      </c>
      <c r="E17" s="70">
        <f t="shared" si="1"/>
        <v>0</v>
      </c>
      <c r="H17" s="25"/>
      <c r="M17">
        <v>104.1</v>
      </c>
      <c r="N17">
        <v>93.4</v>
      </c>
      <c r="O17">
        <v>54.4</v>
      </c>
      <c r="P17">
        <v>63.7</v>
      </c>
      <c r="Q17">
        <v>145.30000000000001</v>
      </c>
      <c r="R17">
        <v>2681</v>
      </c>
      <c r="X17" s="139"/>
      <c r="Y17" s="19" t="s">
        <v>414</v>
      </c>
      <c r="Z17" s="19"/>
      <c r="AA17" s="19"/>
      <c r="AB17" s="19"/>
      <c r="AC17" s="19"/>
      <c r="AD17" s="5"/>
    </row>
    <row r="18" spans="1:34" ht="15.5" x14ac:dyDescent="0.35">
      <c r="A18" s="69"/>
      <c r="B18" s="69"/>
      <c r="C18" s="70">
        <f t="shared" si="0"/>
        <v>0</v>
      </c>
      <c r="D18" s="70">
        <f t="shared" si="0"/>
        <v>0</v>
      </c>
      <c r="E18" s="70">
        <f t="shared" si="1"/>
        <v>0</v>
      </c>
      <c r="G18" s="6" t="s">
        <v>142</v>
      </c>
      <c r="H18" s="234">
        <v>0.93799999999999994</v>
      </c>
      <c r="M18">
        <v>109.7</v>
      </c>
      <c r="N18">
        <v>109.7</v>
      </c>
      <c r="O18">
        <v>139.6</v>
      </c>
      <c r="P18">
        <v>132.80000000000001</v>
      </c>
      <c r="Q18">
        <v>133.5</v>
      </c>
      <c r="R18">
        <v>4032.8</v>
      </c>
      <c r="Y18" s="5"/>
    </row>
    <row r="19" spans="1:34" x14ac:dyDescent="0.25">
      <c r="A19" s="69"/>
      <c r="B19" s="69"/>
      <c r="C19" s="70">
        <f t="shared" si="0"/>
        <v>0</v>
      </c>
      <c r="D19" s="70">
        <f t="shared" si="0"/>
        <v>0</v>
      </c>
      <c r="E19" s="70">
        <f t="shared" si="1"/>
        <v>0</v>
      </c>
      <c r="M19">
        <v>147.69999999999999</v>
      </c>
      <c r="N19">
        <v>101.1</v>
      </c>
      <c r="O19">
        <v>55.6</v>
      </c>
      <c r="P19">
        <v>64.900000000000006</v>
      </c>
      <c r="Q19">
        <v>70.8</v>
      </c>
      <c r="R19">
        <v>2094.6999999999998</v>
      </c>
      <c r="Y19" t="s">
        <v>415</v>
      </c>
      <c r="AH19" s="5"/>
    </row>
    <row r="20" spans="1:34" x14ac:dyDescent="0.25">
      <c r="A20" s="69"/>
      <c r="B20" s="69"/>
      <c r="C20" s="70">
        <f t="shared" si="0"/>
        <v>0</v>
      </c>
      <c r="D20" s="70">
        <f t="shared" si="0"/>
        <v>0</v>
      </c>
      <c r="E20" s="70">
        <f t="shared" si="1"/>
        <v>0</v>
      </c>
      <c r="G20" s="16" t="s">
        <v>416</v>
      </c>
      <c r="H20" s="135">
        <f>TINV((1-H18)*1,COUNT(A11:A65)-2)</f>
        <v>3.8268822989605438</v>
      </c>
      <c r="I20" s="135">
        <f>TINV((1-H18)*2,COUNT(A11:A65)-2)</f>
        <v>2.5685725937851123</v>
      </c>
      <c r="M20">
        <v>67.8</v>
      </c>
      <c r="N20">
        <v>91.5</v>
      </c>
      <c r="O20">
        <v>105.9</v>
      </c>
      <c r="P20">
        <v>95</v>
      </c>
      <c r="Q20">
        <v>86.2</v>
      </c>
      <c r="R20">
        <v>2928</v>
      </c>
      <c r="AH20" s="5"/>
    </row>
    <row r="21" spans="1:34" ht="13" x14ac:dyDescent="0.3">
      <c r="A21" s="69"/>
      <c r="B21" s="69"/>
      <c r="C21" s="70">
        <f t="shared" si="0"/>
        <v>0</v>
      </c>
      <c r="D21" s="70">
        <f t="shared" si="0"/>
        <v>0</v>
      </c>
      <c r="E21" s="70">
        <f t="shared" si="1"/>
        <v>0</v>
      </c>
      <c r="M21">
        <v>57.7</v>
      </c>
      <c r="N21">
        <v>109.7</v>
      </c>
      <c r="O21">
        <v>100.8</v>
      </c>
      <c r="P21">
        <v>79.099999999999994</v>
      </c>
      <c r="Q21">
        <v>60.3</v>
      </c>
      <c r="R21">
        <v>2573.9</v>
      </c>
      <c r="Y21" s="406" t="s">
        <v>417</v>
      </c>
      <c r="Z21" s="406"/>
      <c r="AH21" s="5"/>
    </row>
    <row r="22" spans="1:34" ht="15.5" x14ac:dyDescent="0.35">
      <c r="A22" s="69"/>
      <c r="B22" s="69"/>
      <c r="C22" s="70">
        <f t="shared" si="0"/>
        <v>0</v>
      </c>
      <c r="D22" s="70">
        <f t="shared" si="0"/>
        <v>0</v>
      </c>
      <c r="E22" s="70">
        <f t="shared" si="1"/>
        <v>0</v>
      </c>
      <c r="G22" s="235" t="s">
        <v>418</v>
      </c>
      <c r="M22">
        <v>131.4</v>
      </c>
      <c r="N22">
        <v>82.5</v>
      </c>
      <c r="O22">
        <v>96</v>
      </c>
      <c r="P22">
        <v>144.4</v>
      </c>
      <c r="Q22">
        <v>77.3</v>
      </c>
      <c r="R22">
        <v>3212.5</v>
      </c>
      <c r="X22" s="139"/>
      <c r="Y22" t="s">
        <v>419</v>
      </c>
      <c r="Z22">
        <v>0.99995874765876458</v>
      </c>
      <c r="AH22" s="5"/>
    </row>
    <row r="23" spans="1:34" x14ac:dyDescent="0.25">
      <c r="A23" s="69"/>
      <c r="B23" s="69"/>
      <c r="C23" s="70">
        <f t="shared" si="0"/>
        <v>0</v>
      </c>
      <c r="D23" s="70">
        <f t="shared" si="0"/>
        <v>0</v>
      </c>
      <c r="E23" s="70">
        <f t="shared" si="1"/>
        <v>0</v>
      </c>
      <c r="G23" s="7" t="s">
        <v>420</v>
      </c>
      <c r="H23" s="43">
        <f>+($H$11-($H$20*$H$16)/($H$13^0.5))</f>
        <v>-12.754412272893269</v>
      </c>
      <c r="M23">
        <v>98.6</v>
      </c>
      <c r="N23">
        <v>62.9</v>
      </c>
      <c r="O23">
        <v>144.19999999999999</v>
      </c>
      <c r="P23">
        <v>55.7</v>
      </c>
      <c r="Q23">
        <v>121.6</v>
      </c>
      <c r="R23">
        <v>3120.9</v>
      </c>
      <c r="Y23" t="s">
        <v>421</v>
      </c>
      <c r="Z23">
        <v>0.9999174970192849</v>
      </c>
      <c r="AH23" s="5"/>
    </row>
    <row r="24" spans="1:34" x14ac:dyDescent="0.25">
      <c r="A24" s="69"/>
      <c r="B24" s="69"/>
      <c r="C24" s="70">
        <f t="shared" si="0"/>
        <v>0</v>
      </c>
      <c r="D24" s="70">
        <f t="shared" si="0"/>
        <v>0</v>
      </c>
      <c r="E24" s="70">
        <f t="shared" si="1"/>
        <v>0</v>
      </c>
      <c r="G24" s="7" t="s">
        <v>422</v>
      </c>
      <c r="H24" s="43">
        <f>+($H$11+($H$20*$H$16)/($H$13^0.5))</f>
        <v>2.6059985817735773</v>
      </c>
      <c r="M24">
        <v>132.4</v>
      </c>
      <c r="N24">
        <v>133.1</v>
      </c>
      <c r="O24">
        <v>126</v>
      </c>
      <c r="P24">
        <v>88.1</v>
      </c>
      <c r="Q24">
        <v>133.6</v>
      </c>
      <c r="R24">
        <v>3556.9</v>
      </c>
      <c r="Y24" t="s">
        <v>423</v>
      </c>
      <c r="Z24">
        <v>0.99991682187214326</v>
      </c>
      <c r="AH24" s="5"/>
    </row>
    <row r="25" spans="1:34" x14ac:dyDescent="0.25">
      <c r="A25" s="69"/>
      <c r="B25" s="69"/>
      <c r="C25" s="70">
        <f t="shared" si="0"/>
        <v>0</v>
      </c>
      <c r="D25" s="70">
        <f t="shared" si="0"/>
        <v>0</v>
      </c>
      <c r="E25" s="70">
        <f t="shared" si="1"/>
        <v>0</v>
      </c>
      <c r="G25" s="7" t="s">
        <v>424</v>
      </c>
      <c r="H25" s="43">
        <f>$H$12-(($H$20*$H$16*($C$67^0.5))/((COUNT($A$11:$A$65)*$H$13)^0.5))</f>
        <v>-172.50026399414162</v>
      </c>
      <c r="M25">
        <v>73.400000000000006</v>
      </c>
      <c r="N25">
        <v>149.4</v>
      </c>
      <c r="O25">
        <v>148.6</v>
      </c>
      <c r="P25">
        <v>122.3</v>
      </c>
      <c r="Q25">
        <v>66.5</v>
      </c>
      <c r="R25">
        <v>3562.4</v>
      </c>
      <c r="Y25" t="s">
        <v>425</v>
      </c>
      <c r="Z25">
        <v>4.3176025719089397</v>
      </c>
      <c r="AH25" s="5"/>
    </row>
    <row r="26" spans="1:34" x14ac:dyDescent="0.25">
      <c r="A26" s="69"/>
      <c r="B26" s="69"/>
      <c r="C26" s="70">
        <f t="shared" si="0"/>
        <v>0</v>
      </c>
      <c r="D26" s="70">
        <f t="shared" si="0"/>
        <v>0</v>
      </c>
      <c r="E26" s="70">
        <f t="shared" si="1"/>
        <v>0</v>
      </c>
      <c r="G26" s="7" t="s">
        <v>426</v>
      </c>
      <c r="H26" s="43">
        <f>$H$12+(($H$20*$H$16*($C$67^0.5))/((COUNT($A$11:$A$65)*$H$13)^0.5))</f>
        <v>1009.8787732912459</v>
      </c>
      <c r="M26">
        <v>138.80000000000001</v>
      </c>
      <c r="N26">
        <v>117.9</v>
      </c>
      <c r="O26">
        <v>130.80000000000001</v>
      </c>
      <c r="P26">
        <v>102.8</v>
      </c>
      <c r="Q26">
        <v>108.4</v>
      </c>
      <c r="R26">
        <v>3486.8</v>
      </c>
      <c r="Y26" s="119" t="s">
        <v>216</v>
      </c>
      <c r="Z26" s="119">
        <v>617</v>
      </c>
      <c r="AH26" s="5"/>
    </row>
    <row r="27" spans="1:34" x14ac:dyDescent="0.25">
      <c r="A27" s="69"/>
      <c r="B27" s="69"/>
      <c r="C27" s="70">
        <f t="shared" ref="C27:D66" si="2">+A27^2</f>
        <v>0</v>
      </c>
      <c r="D27" s="70">
        <f t="shared" si="2"/>
        <v>0</v>
      </c>
      <c r="E27" s="70">
        <f t="shared" si="1"/>
        <v>0</v>
      </c>
      <c r="M27">
        <v>124.8</v>
      </c>
      <c r="N27">
        <v>117.8</v>
      </c>
      <c r="O27">
        <v>112</v>
      </c>
      <c r="P27">
        <v>124.1</v>
      </c>
      <c r="Q27">
        <v>62.1</v>
      </c>
      <c r="R27">
        <v>3130.1</v>
      </c>
      <c r="AH27" s="5"/>
    </row>
    <row r="28" spans="1:34" ht="15.5" x14ac:dyDescent="0.35">
      <c r="A28" s="69"/>
      <c r="B28" s="69"/>
      <c r="C28" s="70">
        <f t="shared" si="2"/>
        <v>0</v>
      </c>
      <c r="D28" s="70">
        <f t="shared" si="2"/>
        <v>0</v>
      </c>
      <c r="E28" s="70">
        <f t="shared" si="1"/>
        <v>0</v>
      </c>
      <c r="G28" s="235" t="s">
        <v>427</v>
      </c>
      <c r="M28">
        <v>118.8</v>
      </c>
      <c r="N28">
        <v>112.6</v>
      </c>
      <c r="O28">
        <v>53.3</v>
      </c>
      <c r="P28">
        <v>136.6</v>
      </c>
      <c r="Q28">
        <v>95.8</v>
      </c>
      <c r="R28">
        <v>3002.5</v>
      </c>
      <c r="Y28" t="s">
        <v>428</v>
      </c>
      <c r="AH28" s="5"/>
    </row>
    <row r="29" spans="1:34" ht="13" x14ac:dyDescent="0.3">
      <c r="A29" s="69"/>
      <c r="B29" s="69"/>
      <c r="C29" s="70">
        <f t="shared" si="2"/>
        <v>0</v>
      </c>
      <c r="D29" s="70">
        <f t="shared" si="2"/>
        <v>0</v>
      </c>
      <c r="E29" s="70">
        <f t="shared" si="1"/>
        <v>0</v>
      </c>
      <c r="G29" s="7" t="s">
        <v>420</v>
      </c>
      <c r="H29" s="43">
        <f>+($H$11-($I$20*$H$16)/($H$13^0.5))</f>
        <v>-10.229098904990728</v>
      </c>
      <c r="M29">
        <v>62.4</v>
      </c>
      <c r="N29">
        <v>115</v>
      </c>
      <c r="O29">
        <v>119.3</v>
      </c>
      <c r="P29">
        <v>87.2</v>
      </c>
      <c r="Q29">
        <v>107.9</v>
      </c>
      <c r="R29">
        <v>3222.2</v>
      </c>
      <c r="Y29" s="141"/>
      <c r="Z29" s="141" t="s">
        <v>219</v>
      </c>
      <c r="AA29" s="141" t="s">
        <v>429</v>
      </c>
      <c r="AB29" s="141" t="s">
        <v>430</v>
      </c>
      <c r="AC29" s="141" t="s">
        <v>245</v>
      </c>
      <c r="AD29" s="141" t="s">
        <v>431</v>
      </c>
      <c r="AH29" s="5"/>
    </row>
    <row r="30" spans="1:34" x14ac:dyDescent="0.25">
      <c r="A30" s="69"/>
      <c r="B30" s="69"/>
      <c r="C30" s="70">
        <f t="shared" si="2"/>
        <v>0</v>
      </c>
      <c r="D30" s="70">
        <f t="shared" si="2"/>
        <v>0</v>
      </c>
      <c r="E30" s="70">
        <f t="shared" si="1"/>
        <v>0</v>
      </c>
      <c r="G30" s="7" t="s">
        <v>432</v>
      </c>
      <c r="H30" s="43">
        <f>+($H$11+($I$20*$H$16)/($H$13^0.5))</f>
        <v>8.0685213871036332E-2</v>
      </c>
      <c r="M30">
        <v>129.69999999999999</v>
      </c>
      <c r="N30">
        <v>95.2</v>
      </c>
      <c r="O30">
        <v>58.2</v>
      </c>
      <c r="P30">
        <v>135.1</v>
      </c>
      <c r="Q30">
        <v>69.7</v>
      </c>
      <c r="R30">
        <v>2761.9</v>
      </c>
      <c r="Y30" t="s">
        <v>383</v>
      </c>
      <c r="Z30">
        <v>5</v>
      </c>
      <c r="AA30">
        <v>138045122.48254403</v>
      </c>
      <c r="AB30">
        <v>27609024.496508807</v>
      </c>
      <c r="AC30">
        <v>1481036.4071291403</v>
      </c>
      <c r="AD30">
        <v>0</v>
      </c>
      <c r="AH30" s="5"/>
    </row>
    <row r="31" spans="1:34" x14ac:dyDescent="0.25">
      <c r="A31" s="69"/>
      <c r="B31" s="69"/>
      <c r="C31" s="70">
        <f t="shared" si="2"/>
        <v>0</v>
      </c>
      <c r="D31" s="70">
        <f t="shared" si="2"/>
        <v>0</v>
      </c>
      <c r="E31" s="70">
        <f t="shared" si="1"/>
        <v>0</v>
      </c>
      <c r="G31" s="7" t="s">
        <v>433</v>
      </c>
      <c r="H31" s="43">
        <f>$H$12-(($I$20*$H$16*($C$67^0.5))/((COUNT($A$11:$A$65)*$H$13)^0.5))</f>
        <v>21.887608637360813</v>
      </c>
      <c r="M31">
        <v>113.5</v>
      </c>
      <c r="N31">
        <v>50.4</v>
      </c>
      <c r="O31">
        <v>118.7</v>
      </c>
      <c r="P31">
        <v>108.5</v>
      </c>
      <c r="Q31">
        <v>137.1</v>
      </c>
      <c r="R31">
        <v>3484.4</v>
      </c>
      <c r="Y31" t="s">
        <v>434</v>
      </c>
      <c r="Z31">
        <v>611</v>
      </c>
      <c r="AA31">
        <v>11390.073793031317</v>
      </c>
      <c r="AB31">
        <v>18.641691968954692</v>
      </c>
      <c r="AH31" s="5"/>
    </row>
    <row r="32" spans="1:34" x14ac:dyDescent="0.25">
      <c r="A32" s="69"/>
      <c r="B32" s="69"/>
      <c r="C32" s="70">
        <f t="shared" si="2"/>
        <v>0</v>
      </c>
      <c r="D32" s="70">
        <f t="shared" si="2"/>
        <v>0</v>
      </c>
      <c r="E32" s="70">
        <f t="shared" si="1"/>
        <v>0</v>
      </c>
      <c r="G32" s="7" t="s">
        <v>435</v>
      </c>
      <c r="H32" s="43">
        <f>$H$12+(($I$20*$H$16*($C$67^0.5))/((COUNT($A$11:$A$65)*$H$13)^0.5))</f>
        <v>815.49090065974349</v>
      </c>
      <c r="M32">
        <v>132</v>
      </c>
      <c r="N32">
        <v>72.8</v>
      </c>
      <c r="O32">
        <v>71.400000000000006</v>
      </c>
      <c r="P32">
        <v>93.4</v>
      </c>
      <c r="Q32">
        <v>147.80000000000001</v>
      </c>
      <c r="R32">
        <v>3078.2</v>
      </c>
      <c r="Y32" s="119" t="s">
        <v>436</v>
      </c>
      <c r="Z32" s="119">
        <v>616</v>
      </c>
      <c r="AA32" s="119">
        <v>138056512.55633706</v>
      </c>
      <c r="AB32" s="119"/>
      <c r="AC32" s="119"/>
      <c r="AD32" s="119"/>
      <c r="AH32" s="5"/>
    </row>
    <row r="33" spans="1:34" x14ac:dyDescent="0.25">
      <c r="A33" s="69"/>
      <c r="B33" s="69"/>
      <c r="C33" s="70">
        <f t="shared" si="2"/>
        <v>0</v>
      </c>
      <c r="D33" s="70">
        <f t="shared" si="2"/>
        <v>0</v>
      </c>
      <c r="E33" s="70">
        <f t="shared" si="1"/>
        <v>0</v>
      </c>
      <c r="M33">
        <v>100.2</v>
      </c>
      <c r="N33">
        <v>85.3</v>
      </c>
      <c r="O33">
        <v>123.5</v>
      </c>
      <c r="P33">
        <v>69.099999999999994</v>
      </c>
      <c r="Q33">
        <v>143</v>
      </c>
      <c r="R33">
        <v>3300</v>
      </c>
      <c r="AH33" s="5"/>
    </row>
    <row r="34" spans="1:34" ht="15.5" x14ac:dyDescent="0.35">
      <c r="A34" s="69"/>
      <c r="B34" s="69"/>
      <c r="C34" s="70">
        <f t="shared" si="2"/>
        <v>0</v>
      </c>
      <c r="D34" s="70">
        <f t="shared" si="2"/>
        <v>0</v>
      </c>
      <c r="E34" s="70">
        <f t="shared" si="1"/>
        <v>0</v>
      </c>
      <c r="G34" s="235" t="s">
        <v>437</v>
      </c>
      <c r="M34">
        <v>128.4</v>
      </c>
      <c r="N34">
        <v>132.80000000000001</v>
      </c>
      <c r="O34">
        <v>143.9</v>
      </c>
      <c r="P34">
        <v>132.30000000000001</v>
      </c>
      <c r="Q34">
        <v>80.7</v>
      </c>
      <c r="R34">
        <v>3689.9</v>
      </c>
      <c r="Y34" s="141"/>
      <c r="Z34" s="141" t="s">
        <v>438</v>
      </c>
      <c r="AA34" s="141" t="s">
        <v>425</v>
      </c>
      <c r="AB34" s="141" t="s">
        <v>439</v>
      </c>
      <c r="AC34" s="141" t="s">
        <v>440</v>
      </c>
      <c r="AD34" s="141" t="s">
        <v>441</v>
      </c>
      <c r="AE34" s="141" t="s">
        <v>442</v>
      </c>
      <c r="AF34" s="141" t="s">
        <v>443</v>
      </c>
      <c r="AG34" s="141" t="s">
        <v>444</v>
      </c>
      <c r="AH34" s="5"/>
    </row>
    <row r="35" spans="1:34" x14ac:dyDescent="0.25">
      <c r="A35" s="69"/>
      <c r="B35" s="69"/>
      <c r="C35" s="70">
        <f t="shared" si="2"/>
        <v>0</v>
      </c>
      <c r="D35" s="70">
        <f t="shared" si="2"/>
        <v>0</v>
      </c>
      <c r="E35" s="70">
        <f t="shared" si="1"/>
        <v>0</v>
      </c>
      <c r="G35" s="7" t="s">
        <v>391</v>
      </c>
      <c r="H35" s="8">
        <v>19</v>
      </c>
      <c r="M35">
        <v>140.80000000000001</v>
      </c>
      <c r="N35">
        <v>146.5</v>
      </c>
      <c r="O35">
        <v>138.30000000000001</v>
      </c>
      <c r="P35">
        <v>73.8</v>
      </c>
      <c r="Q35">
        <v>130.69999999999999</v>
      </c>
      <c r="R35">
        <v>3540.3</v>
      </c>
      <c r="Y35" t="s">
        <v>445</v>
      </c>
      <c r="Z35">
        <v>117.71033915618341</v>
      </c>
      <c r="AA35">
        <v>1.3411774740976576</v>
      </c>
      <c r="AB35">
        <v>87.766415280258684</v>
      </c>
      <c r="AC35">
        <v>0</v>
      </c>
      <c r="AD35">
        <v>115.07646231451781</v>
      </c>
      <c r="AE35">
        <v>120.34421599784901</v>
      </c>
      <c r="AF35">
        <v>117.6935226688102</v>
      </c>
      <c r="AG35">
        <v>117.72715564355661</v>
      </c>
      <c r="AH35" s="5"/>
    </row>
    <row r="36" spans="1:34" x14ac:dyDescent="0.25">
      <c r="A36" s="69"/>
      <c r="B36" s="69"/>
      <c r="C36" s="70">
        <f t="shared" si="2"/>
        <v>0</v>
      </c>
      <c r="D36" s="70">
        <f t="shared" si="2"/>
        <v>0</v>
      </c>
      <c r="E36" s="70">
        <f t="shared" si="1"/>
        <v>0</v>
      </c>
      <c r="G36" s="7" t="s">
        <v>446</v>
      </c>
      <c r="H36" s="43">
        <f>+$H$12+$H$11*H35</f>
        <v>322.27932458291508</v>
      </c>
      <c r="M36">
        <v>128.1</v>
      </c>
      <c r="N36">
        <v>120.2</v>
      </c>
      <c r="O36">
        <v>140.6</v>
      </c>
      <c r="P36">
        <v>100.2</v>
      </c>
      <c r="Q36">
        <v>66.2</v>
      </c>
      <c r="R36">
        <v>3196.4</v>
      </c>
      <c r="Y36" t="s">
        <v>116</v>
      </c>
      <c r="Z36">
        <v>-3.5394660806537617E-3</v>
      </c>
      <c r="AA36">
        <v>5.9019166957849081E-3</v>
      </c>
      <c r="AB36">
        <v>-0.59971467967035419</v>
      </c>
      <c r="AC36">
        <v>0.54891873076728337</v>
      </c>
      <c r="AD36">
        <v>-1.5129969206965218E-2</v>
      </c>
      <c r="AE36">
        <v>8.0510370456576951E-3</v>
      </c>
      <c r="AF36">
        <v>-3.6134678511197649E-3</v>
      </c>
      <c r="AG36">
        <v>-3.4654643101877584E-3</v>
      </c>
      <c r="AH36" s="5"/>
    </row>
    <row r="37" spans="1:34" x14ac:dyDescent="0.25">
      <c r="A37" s="69"/>
      <c r="B37" s="69"/>
      <c r="C37" s="70">
        <f t="shared" si="2"/>
        <v>0</v>
      </c>
      <c r="D37" s="70">
        <f t="shared" si="2"/>
        <v>0</v>
      </c>
      <c r="E37" s="70">
        <f t="shared" si="1"/>
        <v>0</v>
      </c>
      <c r="G37" s="7" t="s">
        <v>447</v>
      </c>
      <c r="H37" s="43">
        <f>H36-((((((AVERAGE($A$11:$A$65)-H35)^2)/$H$13)+(1/COUNT($A$11:$A$65))))^0.5)*$H$20*$H$16</f>
        <v>-123.17689374502106</v>
      </c>
      <c r="M37">
        <v>76.2</v>
      </c>
      <c r="N37">
        <v>65.8</v>
      </c>
      <c r="O37">
        <v>110.8</v>
      </c>
      <c r="P37">
        <v>114.9</v>
      </c>
      <c r="Q37">
        <v>93.9</v>
      </c>
      <c r="R37">
        <v>3167.6</v>
      </c>
      <c r="Y37" t="s">
        <v>117</v>
      </c>
      <c r="Z37">
        <v>2.7003862365058793</v>
      </c>
      <c r="AA37">
        <v>5.8592415464831914E-3</v>
      </c>
      <c r="AB37">
        <v>460.87641464904164</v>
      </c>
      <c r="AC37">
        <v>0</v>
      </c>
      <c r="AD37">
        <v>2.68887954114523</v>
      </c>
      <c r="AE37">
        <v>2.7118929318665286</v>
      </c>
      <c r="AF37">
        <v>2.7003127698220242</v>
      </c>
      <c r="AG37">
        <v>2.7004597031897344</v>
      </c>
      <c r="AH37" s="5"/>
    </row>
    <row r="38" spans="1:34" x14ac:dyDescent="0.25">
      <c r="A38" s="69"/>
      <c r="B38" s="69"/>
      <c r="C38" s="70">
        <f t="shared" si="2"/>
        <v>0</v>
      </c>
      <c r="D38" s="70">
        <f t="shared" si="2"/>
        <v>0</v>
      </c>
      <c r="E38" s="70">
        <f t="shared" si="1"/>
        <v>0</v>
      </c>
      <c r="G38" s="7" t="s">
        <v>448</v>
      </c>
      <c r="H38" s="43">
        <f>H36+((((((AVERAGE($A$11:$A$65)-H35)^2)/$H$13)+(1/COUNT($A$11:$A$65))))^0.5)*$H$20*$H$16</f>
        <v>767.73554291085122</v>
      </c>
      <c r="M38">
        <v>135.6</v>
      </c>
      <c r="N38">
        <v>138.19999999999999</v>
      </c>
      <c r="O38">
        <v>55</v>
      </c>
      <c r="P38">
        <v>99.5</v>
      </c>
      <c r="Q38">
        <v>87.7</v>
      </c>
      <c r="R38">
        <v>2660.4</v>
      </c>
      <c r="Y38" t="s">
        <v>118</v>
      </c>
      <c r="Z38">
        <v>8.9018447725071788</v>
      </c>
      <c r="AA38">
        <v>5.9664498080962284E-3</v>
      </c>
      <c r="AB38">
        <v>1491.9835176402121</v>
      </c>
      <c r="AC38">
        <v>0</v>
      </c>
      <c r="AD38">
        <v>8.8901275357655773</v>
      </c>
      <c r="AE38">
        <v>8.9135620092487802</v>
      </c>
      <c r="AF38">
        <v>8.9017699615818557</v>
      </c>
      <c r="AG38">
        <v>8.9019195834325018</v>
      </c>
      <c r="AH38" s="5"/>
    </row>
    <row r="39" spans="1:34" x14ac:dyDescent="0.25">
      <c r="A39" s="69"/>
      <c r="B39" s="69"/>
      <c r="C39" s="70">
        <f t="shared" si="2"/>
        <v>0</v>
      </c>
      <c r="D39" s="70">
        <f t="shared" si="2"/>
        <v>0</v>
      </c>
      <c r="E39" s="70">
        <f t="shared" si="1"/>
        <v>0</v>
      </c>
      <c r="H39" s="25"/>
      <c r="M39">
        <v>122</v>
      </c>
      <c r="N39">
        <v>143.80000000000001</v>
      </c>
      <c r="O39">
        <v>108.5</v>
      </c>
      <c r="P39">
        <v>61.4</v>
      </c>
      <c r="Q39">
        <v>116</v>
      </c>
      <c r="R39">
        <v>3023.9</v>
      </c>
      <c r="Y39" t="s">
        <v>119</v>
      </c>
      <c r="Z39">
        <v>9.4949226726682721</v>
      </c>
      <c r="AA39">
        <v>5.7404368321917329E-3</v>
      </c>
      <c r="AB39">
        <v>1654.0418351826117</v>
      </c>
      <c r="AC39">
        <v>0</v>
      </c>
      <c r="AD39">
        <v>9.4836492924293694</v>
      </c>
      <c r="AE39">
        <v>9.5061960529071747</v>
      </c>
      <c r="AF39">
        <v>9.4948506956291627</v>
      </c>
      <c r="AG39">
        <v>9.4949946497073814</v>
      </c>
      <c r="AH39" s="5"/>
    </row>
    <row r="40" spans="1:34" ht="15.5" x14ac:dyDescent="0.35">
      <c r="A40" s="69"/>
      <c r="B40" s="69"/>
      <c r="C40" s="70">
        <f t="shared" si="2"/>
        <v>0</v>
      </c>
      <c r="D40" s="70">
        <f t="shared" si="2"/>
        <v>0</v>
      </c>
      <c r="E40" s="70">
        <f t="shared" si="1"/>
        <v>0</v>
      </c>
      <c r="G40" s="235" t="s">
        <v>449</v>
      </c>
      <c r="M40">
        <v>65</v>
      </c>
      <c r="N40">
        <v>75.599999999999994</v>
      </c>
      <c r="O40">
        <v>147.6</v>
      </c>
      <c r="P40">
        <v>138</v>
      </c>
      <c r="Q40">
        <v>79.099999999999994</v>
      </c>
      <c r="R40">
        <v>3609.5</v>
      </c>
      <c r="Y40" s="119" t="s">
        <v>120</v>
      </c>
      <c r="Z40" s="119">
        <v>8.4043870311294491</v>
      </c>
      <c r="AA40" s="119">
        <v>5.9989162168597229E-3</v>
      </c>
      <c r="AB40" s="119">
        <v>1400.9842323700477</v>
      </c>
      <c r="AC40" s="119">
        <v>0</v>
      </c>
      <c r="AD40" s="119">
        <v>8.3926060350988454</v>
      </c>
      <c r="AE40" s="119">
        <v>8.4161680271600527</v>
      </c>
      <c r="AF40" s="119">
        <v>8.4043118131208239</v>
      </c>
      <c r="AG40" s="119">
        <v>8.4044622491380743</v>
      </c>
      <c r="AH40" s="5"/>
    </row>
    <row r="41" spans="1:34" x14ac:dyDescent="0.25">
      <c r="A41" s="69"/>
      <c r="B41" s="69"/>
      <c r="C41" s="70">
        <f t="shared" si="2"/>
        <v>0</v>
      </c>
      <c r="D41" s="70">
        <f t="shared" si="2"/>
        <v>0</v>
      </c>
      <c r="E41" s="70">
        <f t="shared" si="1"/>
        <v>0</v>
      </c>
      <c r="G41" s="7" t="s">
        <v>391</v>
      </c>
      <c r="H41" s="8">
        <v>53.3</v>
      </c>
      <c r="M41">
        <v>144.19999999999999</v>
      </c>
      <c r="N41">
        <v>138.80000000000001</v>
      </c>
      <c r="O41">
        <v>120</v>
      </c>
      <c r="P41">
        <v>73.099999999999994</v>
      </c>
      <c r="Q41">
        <v>97.1</v>
      </c>
      <c r="R41">
        <v>3084</v>
      </c>
      <c r="AH41" s="5"/>
    </row>
    <row r="42" spans="1:34" x14ac:dyDescent="0.25">
      <c r="A42" s="69"/>
      <c r="B42" s="69"/>
      <c r="C42" s="70">
        <f t="shared" si="2"/>
        <v>0</v>
      </c>
      <c r="D42" s="70">
        <f t="shared" si="2"/>
        <v>0</v>
      </c>
      <c r="E42" s="70">
        <f t="shared" si="1"/>
        <v>0</v>
      </c>
      <c r="G42" s="7" t="s">
        <v>446</v>
      </c>
      <c r="H42" s="43">
        <f>+$H$12+$H$11*H41</f>
        <v>148.23402978021238</v>
      </c>
      <c r="M42">
        <v>78.8</v>
      </c>
      <c r="N42">
        <v>57.8</v>
      </c>
      <c r="O42">
        <v>110.4</v>
      </c>
      <c r="P42">
        <v>105.9</v>
      </c>
      <c r="Q42">
        <v>113.3</v>
      </c>
      <c r="R42">
        <v>3221</v>
      </c>
      <c r="AH42" s="5"/>
    </row>
    <row r="43" spans="1:34" x14ac:dyDescent="0.25">
      <c r="A43" s="69"/>
      <c r="B43" s="69"/>
      <c r="C43" s="70">
        <f t="shared" si="2"/>
        <v>0</v>
      </c>
      <c r="D43" s="70">
        <f t="shared" si="2"/>
        <v>0</v>
      </c>
      <c r="E43" s="70">
        <f t="shared" si="1"/>
        <v>0</v>
      </c>
      <c r="G43" s="7" t="s">
        <v>447</v>
      </c>
      <c r="H43" s="43">
        <f>H42-((((((AVERAGE($A$11:$A$65)-H41)^2)/$H$13)+(1/COUNT($A$11:$A$65))))^0.5)*$I$20*$H$16</f>
        <v>25.312280528997107</v>
      </c>
      <c r="M43">
        <v>61.5</v>
      </c>
      <c r="N43">
        <v>81.2</v>
      </c>
      <c r="O43">
        <v>81.599999999999994</v>
      </c>
      <c r="P43">
        <v>139.4</v>
      </c>
      <c r="Q43">
        <v>105.1</v>
      </c>
      <c r="R43">
        <v>3270</v>
      </c>
      <c r="AH43" s="5"/>
    </row>
    <row r="44" spans="1:34" x14ac:dyDescent="0.25">
      <c r="A44" s="69"/>
      <c r="B44" s="69"/>
      <c r="C44" s="70">
        <f t="shared" si="2"/>
        <v>0</v>
      </c>
      <c r="D44" s="70">
        <f t="shared" si="2"/>
        <v>0</v>
      </c>
      <c r="E44" s="70">
        <f t="shared" si="1"/>
        <v>0</v>
      </c>
      <c r="G44" s="7" t="s">
        <v>448</v>
      </c>
      <c r="H44" s="43">
        <f>H42+((((((AVERAGE($A$11:$A$65)-H41)^2)/$H$13)+(1/COUNT($A$11:$A$65))))^0.5)*$I$20*$H$16</f>
        <v>271.15577903142764</v>
      </c>
      <c r="M44">
        <v>52.2</v>
      </c>
      <c r="N44">
        <v>123.8</v>
      </c>
      <c r="O44">
        <v>55.8</v>
      </c>
      <c r="P44">
        <v>76.900000000000006</v>
      </c>
      <c r="Q44">
        <v>116.4</v>
      </c>
      <c r="R44">
        <v>2645.1</v>
      </c>
      <c r="Y44" s="5"/>
      <c r="Z44" s="5"/>
      <c r="AA44" s="5"/>
      <c r="AB44" s="5"/>
      <c r="AC44" s="5"/>
      <c r="AD44" s="5"/>
      <c r="AE44" s="5"/>
      <c r="AF44" s="5"/>
      <c r="AG44" s="5"/>
      <c r="AH44" s="5"/>
    </row>
    <row r="45" spans="1:34" x14ac:dyDescent="0.25">
      <c r="A45" s="69"/>
      <c r="B45" s="69"/>
      <c r="C45" s="70">
        <f t="shared" si="2"/>
        <v>0</v>
      </c>
      <c r="D45" s="70">
        <f t="shared" si="2"/>
        <v>0</v>
      </c>
      <c r="E45" s="70">
        <f t="shared" si="1"/>
        <v>0</v>
      </c>
      <c r="G45" s="16"/>
      <c r="H45" s="25"/>
      <c r="M45">
        <v>71.599999999999994</v>
      </c>
      <c r="N45">
        <v>112.7</v>
      </c>
      <c r="O45">
        <v>128.80000000000001</v>
      </c>
      <c r="P45">
        <v>143.69999999999999</v>
      </c>
      <c r="Q45">
        <v>52.9</v>
      </c>
      <c r="R45">
        <v>3381.2</v>
      </c>
      <c r="Y45" s="5"/>
      <c r="Z45" s="5"/>
      <c r="AA45" s="5"/>
      <c r="AB45" s="5"/>
      <c r="AC45" s="5"/>
      <c r="AD45" s="5"/>
      <c r="AE45" s="5"/>
      <c r="AF45" s="5"/>
      <c r="AG45" s="5"/>
      <c r="AH45" s="5"/>
    </row>
    <row r="46" spans="1:34" ht="15.5" x14ac:dyDescent="0.35">
      <c r="A46" s="69"/>
      <c r="B46" s="69"/>
      <c r="C46" s="70">
        <f t="shared" si="2"/>
        <v>0</v>
      </c>
      <c r="D46" s="70">
        <f t="shared" si="2"/>
        <v>0</v>
      </c>
      <c r="E46" s="70">
        <f t="shared" si="1"/>
        <v>0</v>
      </c>
      <c r="G46" s="235" t="s">
        <v>450</v>
      </c>
      <c r="M46">
        <v>61.9</v>
      </c>
      <c r="N46">
        <v>127.4</v>
      </c>
      <c r="O46">
        <v>130.5</v>
      </c>
      <c r="P46">
        <v>134.80000000000001</v>
      </c>
      <c r="Q46">
        <v>106.8</v>
      </c>
      <c r="R46">
        <v>3802.4</v>
      </c>
    </row>
    <row r="47" spans="1:34" x14ac:dyDescent="0.25">
      <c r="A47" s="69"/>
      <c r="B47" s="69"/>
      <c r="C47" s="70">
        <f t="shared" si="2"/>
        <v>0</v>
      </c>
      <c r="D47" s="70">
        <f t="shared" si="2"/>
        <v>0</v>
      </c>
      <c r="E47" s="70">
        <f t="shared" si="1"/>
        <v>0</v>
      </c>
      <c r="G47" s="7" t="s">
        <v>391</v>
      </c>
      <c r="H47" s="8">
        <v>19</v>
      </c>
      <c r="M47">
        <v>102.7</v>
      </c>
      <c r="N47">
        <v>149.6</v>
      </c>
      <c r="O47">
        <v>73.400000000000006</v>
      </c>
      <c r="P47">
        <v>52.3</v>
      </c>
      <c r="Q47">
        <v>99.4</v>
      </c>
      <c r="R47">
        <v>2509.1999999999998</v>
      </c>
    </row>
    <row r="48" spans="1:34" x14ac:dyDescent="0.25">
      <c r="A48" s="69"/>
      <c r="B48" s="69"/>
      <c r="C48" s="70">
        <f t="shared" si="2"/>
        <v>0</v>
      </c>
      <c r="D48" s="70">
        <f t="shared" si="2"/>
        <v>0</v>
      </c>
      <c r="E48" s="70">
        <f t="shared" si="1"/>
        <v>0</v>
      </c>
      <c r="G48" s="7" t="s">
        <v>446</v>
      </c>
      <c r="H48" s="43">
        <f>+$H$12+$H$11*H47</f>
        <v>322.27932458291508</v>
      </c>
      <c r="M48">
        <v>100.6</v>
      </c>
      <c r="N48">
        <v>63.8</v>
      </c>
      <c r="O48">
        <v>55</v>
      </c>
      <c r="P48">
        <v>125.7</v>
      </c>
      <c r="Q48">
        <v>59.3</v>
      </c>
      <c r="R48">
        <v>2469.1</v>
      </c>
    </row>
    <row r="49" spans="1:18" x14ac:dyDescent="0.25">
      <c r="A49" s="69"/>
      <c r="B49" s="69"/>
      <c r="C49" s="70">
        <f t="shared" si="2"/>
        <v>0</v>
      </c>
      <c r="D49" s="70">
        <f t="shared" si="2"/>
        <v>0</v>
      </c>
      <c r="E49" s="70">
        <f t="shared" si="1"/>
        <v>0</v>
      </c>
      <c r="G49" s="7" t="s">
        <v>447</v>
      </c>
      <c r="H49" s="43">
        <f>H48-(((((((AVERAGE($A$11:$A$65)-H47)^2)/$H$13)+(1/COUNT($A$11:$A$65))))+1)^0.5)*$H$20*$H$16</f>
        <v>-126.2528916959775</v>
      </c>
      <c r="M49">
        <v>90.2</v>
      </c>
      <c r="N49">
        <v>72.8</v>
      </c>
      <c r="O49">
        <v>104.2</v>
      </c>
      <c r="P49">
        <v>128.5</v>
      </c>
      <c r="Q49">
        <v>76</v>
      </c>
      <c r="R49">
        <v>3100.5</v>
      </c>
    </row>
    <row r="50" spans="1:18" x14ac:dyDescent="0.25">
      <c r="A50" s="69"/>
      <c r="B50" s="69"/>
      <c r="C50" s="70">
        <f t="shared" si="2"/>
        <v>0</v>
      </c>
      <c r="D50" s="70">
        <f t="shared" si="2"/>
        <v>0</v>
      </c>
      <c r="E50" s="70">
        <f t="shared" si="1"/>
        <v>0</v>
      </c>
      <c r="G50" s="7" t="s">
        <v>448</v>
      </c>
      <c r="H50" s="43">
        <f>H48+(((((((AVERAGE($A$11:$A$65)-H47)^2)/$H$13)+(1/COUNT($A$11:$A$65))))+1)^0.5)*$H$20*$H$16</f>
        <v>770.81154086180766</v>
      </c>
      <c r="M50">
        <v>115.4</v>
      </c>
      <c r="N50">
        <v>121.5</v>
      </c>
      <c r="O50">
        <v>87.2</v>
      </c>
      <c r="P50">
        <v>133.5</v>
      </c>
      <c r="Q50">
        <v>94</v>
      </c>
      <c r="R50">
        <v>3289.7</v>
      </c>
    </row>
    <row r="51" spans="1:18" x14ac:dyDescent="0.25">
      <c r="A51" s="69"/>
      <c r="B51" s="69"/>
      <c r="C51" s="70">
        <f t="shared" si="2"/>
        <v>0</v>
      </c>
      <c r="D51" s="70">
        <f t="shared" si="2"/>
        <v>0</v>
      </c>
      <c r="E51" s="70">
        <f t="shared" si="1"/>
        <v>0</v>
      </c>
      <c r="G51" s="16"/>
      <c r="H51" s="25"/>
      <c r="M51">
        <v>78.099999999999994</v>
      </c>
      <c r="N51">
        <v>141.19999999999999</v>
      </c>
      <c r="O51">
        <v>114.2</v>
      </c>
      <c r="P51">
        <v>71.400000000000006</v>
      </c>
      <c r="Q51">
        <v>138.9</v>
      </c>
      <c r="R51">
        <v>3353.6</v>
      </c>
    </row>
    <row r="52" spans="1:18" ht="15.5" x14ac:dyDescent="0.35">
      <c r="A52" s="69"/>
      <c r="B52" s="69"/>
      <c r="C52" s="70">
        <f t="shared" si="2"/>
        <v>0</v>
      </c>
      <c r="D52" s="70">
        <f t="shared" si="2"/>
        <v>0</v>
      </c>
      <c r="E52" s="70">
        <f t="shared" si="1"/>
        <v>0</v>
      </c>
      <c r="G52" s="235" t="s">
        <v>451</v>
      </c>
      <c r="M52">
        <v>72.7</v>
      </c>
      <c r="N52">
        <v>58.4</v>
      </c>
      <c r="O52">
        <v>111.7</v>
      </c>
      <c r="P52">
        <v>82.6</v>
      </c>
      <c r="Q52">
        <v>90.7</v>
      </c>
      <c r="R52">
        <v>2823.4</v>
      </c>
    </row>
    <row r="53" spans="1:18" x14ac:dyDescent="0.25">
      <c r="A53" s="69"/>
      <c r="B53" s="69"/>
      <c r="C53" s="70">
        <f t="shared" si="2"/>
        <v>0</v>
      </c>
      <c r="D53" s="70">
        <f t="shared" si="2"/>
        <v>0</v>
      </c>
      <c r="E53" s="70">
        <f t="shared" si="1"/>
        <v>0</v>
      </c>
      <c r="G53" s="7" t="s">
        <v>391</v>
      </c>
      <c r="H53" s="8">
        <v>81.3</v>
      </c>
      <c r="M53">
        <v>145.80000000000001</v>
      </c>
      <c r="N53">
        <v>130.9</v>
      </c>
      <c r="O53">
        <v>51.9</v>
      </c>
      <c r="P53">
        <v>80.400000000000006</v>
      </c>
      <c r="Q53">
        <v>144.9</v>
      </c>
      <c r="R53">
        <v>2907.4</v>
      </c>
    </row>
    <row r="54" spans="1:18" x14ac:dyDescent="0.25">
      <c r="A54" s="69"/>
      <c r="B54" s="69"/>
      <c r="C54" s="70">
        <f t="shared" si="2"/>
        <v>0</v>
      </c>
      <c r="D54" s="70">
        <f t="shared" si="2"/>
        <v>0</v>
      </c>
      <c r="E54" s="70">
        <f t="shared" si="1"/>
        <v>0</v>
      </c>
      <c r="G54" s="7" t="s">
        <v>446</v>
      </c>
      <c r="H54" s="43">
        <f>+$H$12+$H$11*H53</f>
        <v>6.156238104536726</v>
      </c>
      <c r="M54">
        <v>146.5</v>
      </c>
      <c r="N54">
        <v>103.8</v>
      </c>
      <c r="O54">
        <v>53.9</v>
      </c>
      <c r="P54">
        <v>63.4</v>
      </c>
      <c r="Q54">
        <v>127.4</v>
      </c>
      <c r="R54">
        <v>2545.6999999999998</v>
      </c>
    </row>
    <row r="55" spans="1:18" x14ac:dyDescent="0.25">
      <c r="A55" s="69"/>
      <c r="B55" s="69"/>
      <c r="C55" s="70">
        <f t="shared" si="2"/>
        <v>0</v>
      </c>
      <c r="D55" s="70">
        <f t="shared" si="2"/>
        <v>0</v>
      </c>
      <c r="E55" s="70">
        <f t="shared" si="1"/>
        <v>0</v>
      </c>
      <c r="G55" s="7" t="s">
        <v>447</v>
      </c>
      <c r="H55" s="43">
        <f>H54-(((((((AVERAGE($A$11:$A$65)-H53)^2)/$H$13)+(1/COUNT($A$11:$A$65))))+1)^0.5)*$I$20*$H$16</f>
        <v>-39.263889970239347</v>
      </c>
      <c r="M55">
        <v>59.2</v>
      </c>
      <c r="N55">
        <v>99.7</v>
      </c>
      <c r="O55">
        <v>98.1</v>
      </c>
      <c r="P55">
        <v>144.19999999999999</v>
      </c>
      <c r="Q55">
        <v>53.2</v>
      </c>
      <c r="R55">
        <v>3082.4</v>
      </c>
    </row>
    <row r="56" spans="1:18" x14ac:dyDescent="0.25">
      <c r="A56" s="69"/>
      <c r="B56" s="69"/>
      <c r="C56" s="70">
        <f t="shared" si="2"/>
        <v>0</v>
      </c>
      <c r="D56" s="70">
        <f t="shared" si="2"/>
        <v>0</v>
      </c>
      <c r="E56" s="70">
        <f t="shared" si="1"/>
        <v>0</v>
      </c>
      <c r="G56" s="7" t="s">
        <v>448</v>
      </c>
      <c r="H56" s="43">
        <f>H54+(((((((AVERAGE($A$11:$A$65)-H53)^2)/$H$13)+(1/COUNT($A$11:$A$65))))+1)^0.5)*$I$20*$H$16</f>
        <v>51.576366179312799</v>
      </c>
      <c r="M56">
        <v>132.80000000000001</v>
      </c>
      <c r="N56">
        <v>84.7</v>
      </c>
      <c r="O56">
        <v>118.9</v>
      </c>
      <c r="P56">
        <v>84.7</v>
      </c>
      <c r="Q56">
        <v>145</v>
      </c>
      <c r="R56">
        <v>3426.5</v>
      </c>
    </row>
    <row r="57" spans="1:18" x14ac:dyDescent="0.25">
      <c r="A57" s="69"/>
      <c r="B57" s="69"/>
      <c r="C57" s="70">
        <f t="shared" si="2"/>
        <v>0</v>
      </c>
      <c r="D57" s="70">
        <f t="shared" si="2"/>
        <v>0</v>
      </c>
      <c r="E57" s="70">
        <f t="shared" si="1"/>
        <v>0</v>
      </c>
      <c r="G57" s="16"/>
      <c r="H57" s="25"/>
      <c r="M57">
        <v>148</v>
      </c>
      <c r="N57">
        <v>75.400000000000006</v>
      </c>
      <c r="O57">
        <v>67</v>
      </c>
      <c r="P57">
        <v>54.3</v>
      </c>
      <c r="Q57">
        <v>52.1</v>
      </c>
      <c r="R57">
        <v>1871.1</v>
      </c>
    </row>
    <row r="58" spans="1:18" x14ac:dyDescent="0.25">
      <c r="A58" s="69"/>
      <c r="B58" s="69"/>
      <c r="C58" s="70">
        <f t="shared" si="2"/>
        <v>0</v>
      </c>
      <c r="D58" s="70">
        <f t="shared" si="2"/>
        <v>0</v>
      </c>
      <c r="E58" s="70">
        <f t="shared" si="1"/>
        <v>0</v>
      </c>
      <c r="G58" s="16"/>
      <c r="H58" s="25"/>
      <c r="M58">
        <v>88.7</v>
      </c>
      <c r="N58">
        <v>77.2</v>
      </c>
      <c r="O58">
        <v>55.7</v>
      </c>
      <c r="P58">
        <v>149.9</v>
      </c>
      <c r="Q58">
        <v>135.80000000000001</v>
      </c>
      <c r="R58">
        <v>3387.1</v>
      </c>
    </row>
    <row r="59" spans="1:18" x14ac:dyDescent="0.25">
      <c r="A59" s="69"/>
      <c r="B59" s="69"/>
      <c r="C59" s="70">
        <f t="shared" si="2"/>
        <v>0</v>
      </c>
      <c r="D59" s="70">
        <f t="shared" si="2"/>
        <v>0</v>
      </c>
      <c r="E59" s="70">
        <f t="shared" si="1"/>
        <v>0</v>
      </c>
      <c r="G59" s="16"/>
      <c r="H59" s="25"/>
      <c r="M59">
        <v>106.6</v>
      </c>
      <c r="N59">
        <v>70.5</v>
      </c>
      <c r="O59">
        <v>133.4</v>
      </c>
      <c r="P59">
        <v>145</v>
      </c>
      <c r="Q59">
        <v>110.5</v>
      </c>
      <c r="R59">
        <v>3797.5</v>
      </c>
    </row>
    <row r="60" spans="1:18" x14ac:dyDescent="0.25">
      <c r="A60" s="69"/>
      <c r="B60" s="69"/>
      <c r="C60" s="70">
        <f t="shared" si="2"/>
        <v>0</v>
      </c>
      <c r="D60" s="70">
        <f t="shared" si="2"/>
        <v>0</v>
      </c>
      <c r="E60" s="70">
        <f t="shared" si="1"/>
        <v>0</v>
      </c>
      <c r="G60" s="16"/>
      <c r="H60" s="25"/>
      <c r="M60">
        <v>96.4</v>
      </c>
      <c r="N60">
        <v>83.7</v>
      </c>
      <c r="O60">
        <v>146.19999999999999</v>
      </c>
      <c r="P60">
        <v>58.4</v>
      </c>
      <c r="Q60">
        <v>58.1</v>
      </c>
      <c r="R60">
        <v>2680.8</v>
      </c>
    </row>
    <row r="61" spans="1:18" x14ac:dyDescent="0.25">
      <c r="A61" s="69"/>
      <c r="B61" s="69"/>
      <c r="C61" s="70">
        <f t="shared" si="2"/>
        <v>0</v>
      </c>
      <c r="D61" s="70">
        <f t="shared" si="2"/>
        <v>0</v>
      </c>
      <c r="E61" s="70">
        <f t="shared" si="1"/>
        <v>0</v>
      </c>
      <c r="G61" s="16"/>
      <c r="H61" s="25"/>
      <c r="M61">
        <v>120.9</v>
      </c>
      <c r="N61">
        <v>121</v>
      </c>
      <c r="O61">
        <v>83.5</v>
      </c>
      <c r="P61">
        <v>56.5</v>
      </c>
      <c r="Q61">
        <v>54.4</v>
      </c>
      <c r="R61">
        <v>2183.3000000000002</v>
      </c>
    </row>
    <row r="62" spans="1:18" x14ac:dyDescent="0.25">
      <c r="A62" s="69"/>
      <c r="B62" s="69"/>
      <c r="C62" s="70">
        <f t="shared" si="2"/>
        <v>0</v>
      </c>
      <c r="D62" s="70">
        <f t="shared" si="2"/>
        <v>0</v>
      </c>
      <c r="E62" s="70">
        <f t="shared" si="1"/>
        <v>0</v>
      </c>
      <c r="G62" s="16"/>
      <c r="H62" s="25"/>
      <c r="M62">
        <v>52.3</v>
      </c>
      <c r="N62">
        <v>133.5</v>
      </c>
      <c r="O62">
        <v>119.3</v>
      </c>
      <c r="P62">
        <v>132.5</v>
      </c>
      <c r="Q62">
        <v>74.8</v>
      </c>
      <c r="R62">
        <v>3422.2</v>
      </c>
    </row>
    <row r="63" spans="1:18" x14ac:dyDescent="0.25">
      <c r="A63" s="69"/>
      <c r="B63" s="69"/>
      <c r="C63" s="70">
        <f t="shared" si="2"/>
        <v>0</v>
      </c>
      <c r="D63" s="70">
        <f t="shared" si="2"/>
        <v>0</v>
      </c>
      <c r="E63" s="70">
        <f t="shared" si="1"/>
        <v>0</v>
      </c>
      <c r="G63" s="16"/>
      <c r="H63" s="25"/>
      <c r="M63">
        <v>120</v>
      </c>
      <c r="N63">
        <v>50.5</v>
      </c>
      <c r="O63">
        <v>92.3</v>
      </c>
      <c r="P63">
        <v>124.7</v>
      </c>
      <c r="Q63">
        <v>68.5</v>
      </c>
      <c r="R63">
        <v>2830.7</v>
      </c>
    </row>
    <row r="64" spans="1:18" x14ac:dyDescent="0.25">
      <c r="A64" s="69"/>
      <c r="B64" s="69"/>
      <c r="C64" s="70">
        <f t="shared" si="2"/>
        <v>0</v>
      </c>
      <c r="D64" s="70">
        <f t="shared" si="2"/>
        <v>0</v>
      </c>
      <c r="E64" s="70">
        <f t="shared" si="1"/>
        <v>0</v>
      </c>
      <c r="G64" s="16"/>
      <c r="H64" s="25"/>
      <c r="M64">
        <v>80.900000000000006</v>
      </c>
      <c r="N64">
        <v>110.5</v>
      </c>
      <c r="O64">
        <v>89.8</v>
      </c>
      <c r="P64">
        <v>68.7</v>
      </c>
      <c r="Q64">
        <v>117.7</v>
      </c>
      <c r="R64">
        <v>2858.5</v>
      </c>
    </row>
    <row r="65" spans="1:18" x14ac:dyDescent="0.25">
      <c r="A65" s="69"/>
      <c r="B65" s="69"/>
      <c r="C65" s="70">
        <f t="shared" si="2"/>
        <v>0</v>
      </c>
      <c r="D65" s="70">
        <f t="shared" si="2"/>
        <v>0</v>
      </c>
      <c r="E65" s="70">
        <f t="shared" si="1"/>
        <v>0</v>
      </c>
      <c r="G65" s="16"/>
      <c r="H65" s="25"/>
      <c r="M65">
        <v>52.4</v>
      </c>
      <c r="N65">
        <v>59.2</v>
      </c>
      <c r="O65">
        <v>124.5</v>
      </c>
      <c r="P65">
        <v>94.9</v>
      </c>
      <c r="Q65">
        <v>122.6</v>
      </c>
      <c r="R65">
        <v>3316.4</v>
      </c>
    </row>
    <row r="66" spans="1:18" x14ac:dyDescent="0.25">
      <c r="A66" s="69"/>
      <c r="B66" s="69"/>
      <c r="C66" s="70">
        <f t="shared" si="2"/>
        <v>0</v>
      </c>
      <c r="D66" s="70">
        <f t="shared" si="2"/>
        <v>0</v>
      </c>
      <c r="E66" s="70">
        <f t="shared" si="1"/>
        <v>0</v>
      </c>
      <c r="G66" s="16"/>
      <c r="H66" s="25"/>
      <c r="M66">
        <v>74</v>
      </c>
      <c r="N66">
        <v>103.7</v>
      </c>
      <c r="O66">
        <v>122.7</v>
      </c>
      <c r="P66">
        <v>114.7</v>
      </c>
      <c r="Q66">
        <v>76.5</v>
      </c>
      <c r="R66">
        <v>3223.4</v>
      </c>
    </row>
    <row r="67" spans="1:18" x14ac:dyDescent="0.25">
      <c r="A67" s="115">
        <f>SUM(A11:A66)</f>
        <v>307.60000000000002</v>
      </c>
      <c r="B67" s="115">
        <f>SUM(B11:B66)</f>
        <v>113.93099290000001</v>
      </c>
      <c r="C67" s="115">
        <f>SUM(C11:C66)</f>
        <v>23701.059999999998</v>
      </c>
      <c r="D67" s="115">
        <f>SUM(D11:D66)</f>
        <v>4820.9610568555481</v>
      </c>
      <c r="E67" s="115">
        <f>SUM(E11:E66)</f>
        <v>8524.7338308699982</v>
      </c>
      <c r="H67" s="25"/>
      <c r="M67">
        <v>88</v>
      </c>
      <c r="N67">
        <v>138.19999999999999</v>
      </c>
      <c r="O67">
        <v>61.4</v>
      </c>
      <c r="P67">
        <v>60.7</v>
      </c>
      <c r="Q67">
        <v>123.5</v>
      </c>
      <c r="R67">
        <v>2653.2</v>
      </c>
    </row>
    <row r="68" spans="1:18" x14ac:dyDescent="0.25">
      <c r="H68" s="25"/>
      <c r="M68">
        <v>54.9</v>
      </c>
      <c r="N68">
        <v>84.4</v>
      </c>
      <c r="O68">
        <v>122.3</v>
      </c>
      <c r="P68">
        <v>70.2</v>
      </c>
      <c r="Q68">
        <v>112.9</v>
      </c>
      <c r="R68">
        <v>3056.6</v>
      </c>
    </row>
    <row r="69" spans="1:18" x14ac:dyDescent="0.25">
      <c r="L69" s="16"/>
      <c r="M69">
        <v>144.4</v>
      </c>
      <c r="N69">
        <v>108.2</v>
      </c>
      <c r="O69">
        <v>52.2</v>
      </c>
      <c r="P69">
        <v>128.80000000000001</v>
      </c>
      <c r="Q69">
        <v>91.4</v>
      </c>
      <c r="R69">
        <v>2866.8</v>
      </c>
    </row>
    <row r="70" spans="1:18" x14ac:dyDescent="0.25">
      <c r="M70">
        <v>67.2</v>
      </c>
      <c r="N70">
        <v>107.6</v>
      </c>
      <c r="O70">
        <v>145.80000000000001</v>
      </c>
      <c r="P70">
        <v>114.3</v>
      </c>
      <c r="Q70">
        <v>99.5</v>
      </c>
      <c r="R70">
        <v>3637.7</v>
      </c>
    </row>
    <row r="71" spans="1:18" x14ac:dyDescent="0.25">
      <c r="M71">
        <v>138.5</v>
      </c>
      <c r="N71">
        <v>83.7</v>
      </c>
      <c r="O71">
        <v>90.9</v>
      </c>
      <c r="P71">
        <v>107</v>
      </c>
      <c r="Q71">
        <v>61.3</v>
      </c>
      <c r="R71">
        <v>2676.3</v>
      </c>
    </row>
    <row r="72" spans="1:18" x14ac:dyDescent="0.25">
      <c r="M72">
        <v>88.9</v>
      </c>
      <c r="N72">
        <v>138.5</v>
      </c>
      <c r="O72">
        <v>143</v>
      </c>
      <c r="P72">
        <v>56.2</v>
      </c>
      <c r="Q72">
        <v>84.3</v>
      </c>
      <c r="R72">
        <v>3004.5</v>
      </c>
    </row>
    <row r="73" spans="1:18" x14ac:dyDescent="0.25">
      <c r="M73">
        <v>63</v>
      </c>
      <c r="N73">
        <v>62.4</v>
      </c>
      <c r="O73">
        <v>117.8</v>
      </c>
      <c r="P73">
        <v>119.2</v>
      </c>
      <c r="Q73">
        <v>109.7</v>
      </c>
      <c r="R73">
        <v>3380.3</v>
      </c>
    </row>
    <row r="74" spans="1:18" x14ac:dyDescent="0.25">
      <c r="M74">
        <v>71.7</v>
      </c>
      <c r="N74">
        <v>104.3</v>
      </c>
      <c r="O74">
        <v>119.8</v>
      </c>
      <c r="P74">
        <v>112.8</v>
      </c>
      <c r="Q74">
        <v>79</v>
      </c>
      <c r="R74">
        <v>3202.4</v>
      </c>
    </row>
    <row r="75" spans="1:18" x14ac:dyDescent="0.25">
      <c r="M75">
        <v>88.3</v>
      </c>
      <c r="N75">
        <v>138.6</v>
      </c>
      <c r="O75">
        <v>145.5</v>
      </c>
      <c r="P75">
        <v>144</v>
      </c>
      <c r="Q75">
        <v>106.4</v>
      </c>
      <c r="R75">
        <v>4052.2</v>
      </c>
    </row>
    <row r="76" spans="1:18" x14ac:dyDescent="0.25">
      <c r="M76">
        <v>104.8</v>
      </c>
      <c r="N76">
        <v>70.3</v>
      </c>
      <c r="O76">
        <v>127.7</v>
      </c>
      <c r="P76">
        <v>109.2</v>
      </c>
      <c r="Q76">
        <v>74.099999999999994</v>
      </c>
      <c r="R76">
        <v>3105.3</v>
      </c>
    </row>
    <row r="77" spans="1:18" x14ac:dyDescent="0.25">
      <c r="A77" t="s">
        <v>391</v>
      </c>
      <c r="B77" t="s">
        <v>392</v>
      </c>
      <c r="M77">
        <v>88.4</v>
      </c>
      <c r="N77">
        <v>143</v>
      </c>
      <c r="O77">
        <v>111.5</v>
      </c>
      <c r="P77">
        <v>78.7</v>
      </c>
      <c r="Q77">
        <v>90.5</v>
      </c>
      <c r="R77">
        <v>3003.3</v>
      </c>
    </row>
    <row r="78" spans="1:18" x14ac:dyDescent="0.25">
      <c r="A78">
        <v>84.6</v>
      </c>
      <c r="B78">
        <v>-60.02487</v>
      </c>
      <c r="M78">
        <v>104.1</v>
      </c>
      <c r="N78">
        <v>141.9</v>
      </c>
      <c r="O78">
        <v>77.599999999999994</v>
      </c>
      <c r="P78">
        <v>106.1</v>
      </c>
      <c r="Q78">
        <v>76.900000000000006</v>
      </c>
      <c r="R78">
        <v>2841.1</v>
      </c>
    </row>
    <row r="79" spans="1:18" ht="13" x14ac:dyDescent="0.3">
      <c r="A79">
        <v>83.6</v>
      </c>
      <c r="B79">
        <v>-88.861429999999999</v>
      </c>
      <c r="E79" s="141"/>
      <c r="F79" s="141" t="s">
        <v>391</v>
      </c>
      <c r="G79" s="141" t="s">
        <v>392</v>
      </c>
      <c r="M79">
        <v>93.3</v>
      </c>
      <c r="N79">
        <v>106</v>
      </c>
      <c r="O79">
        <v>53.7</v>
      </c>
      <c r="P79">
        <v>128.80000000000001</v>
      </c>
      <c r="Q79">
        <v>72.599999999999994</v>
      </c>
      <c r="R79">
        <v>2714.3</v>
      </c>
    </row>
    <row r="80" spans="1:18" x14ac:dyDescent="0.25">
      <c r="A80">
        <v>62.9</v>
      </c>
      <c r="B80">
        <v>-19.35594</v>
      </c>
      <c r="E80" t="s">
        <v>391</v>
      </c>
      <c r="F80">
        <v>1</v>
      </c>
      <c r="M80">
        <v>126.1</v>
      </c>
      <c r="N80">
        <v>91</v>
      </c>
      <c r="O80">
        <v>78.900000000000006</v>
      </c>
      <c r="P80">
        <v>50.7</v>
      </c>
      <c r="Q80">
        <v>76.2</v>
      </c>
      <c r="R80">
        <v>2183.1999999999998</v>
      </c>
    </row>
    <row r="81" spans="1:18" x14ac:dyDescent="0.25">
      <c r="A81">
        <v>94.5</v>
      </c>
      <c r="B81">
        <v>-117.2071</v>
      </c>
      <c r="E81" s="119" t="s">
        <v>392</v>
      </c>
      <c r="F81" s="236">
        <v>-0.96457655043877655</v>
      </c>
      <c r="G81" s="119">
        <v>1</v>
      </c>
      <c r="M81">
        <v>64.8</v>
      </c>
      <c r="N81">
        <v>147.6</v>
      </c>
      <c r="O81">
        <v>112.7</v>
      </c>
      <c r="P81">
        <v>121.5</v>
      </c>
      <c r="Q81">
        <v>60.8</v>
      </c>
      <c r="R81">
        <v>3177.4</v>
      </c>
    </row>
    <row r="82" spans="1:18" x14ac:dyDescent="0.25">
      <c r="A82">
        <v>73.5</v>
      </c>
      <c r="B82">
        <v>-54.582839999999997</v>
      </c>
      <c r="M82">
        <v>107.2</v>
      </c>
      <c r="N82">
        <v>107.6</v>
      </c>
      <c r="O82">
        <v>103.6</v>
      </c>
      <c r="P82">
        <v>53.9</v>
      </c>
      <c r="Q82">
        <v>131.30000000000001</v>
      </c>
      <c r="R82">
        <v>2945.4</v>
      </c>
    </row>
    <row r="83" spans="1:18" x14ac:dyDescent="0.25">
      <c r="A83">
        <v>53.7</v>
      </c>
      <c r="B83">
        <v>12.24689</v>
      </c>
      <c r="M83">
        <v>98.5</v>
      </c>
      <c r="N83">
        <v>90.8</v>
      </c>
      <c r="O83">
        <v>58</v>
      </c>
      <c r="P83">
        <v>145.1</v>
      </c>
      <c r="Q83">
        <v>112.7</v>
      </c>
      <c r="R83">
        <v>3201.5</v>
      </c>
    </row>
    <row r="84" spans="1:18" x14ac:dyDescent="0.25">
      <c r="A84">
        <v>78.099999999999994</v>
      </c>
      <c r="B84">
        <v>-70.648250000000004</v>
      </c>
      <c r="M84">
        <v>127.7</v>
      </c>
      <c r="N84">
        <v>76.2</v>
      </c>
      <c r="O84">
        <v>75.400000000000006</v>
      </c>
      <c r="P84">
        <v>91.3</v>
      </c>
      <c r="Q84">
        <v>85.9</v>
      </c>
      <c r="R84">
        <v>2582</v>
      </c>
    </row>
    <row r="85" spans="1:18" x14ac:dyDescent="0.25">
      <c r="A85">
        <v>97.2</v>
      </c>
      <c r="B85">
        <v>-117.39570000000001</v>
      </c>
      <c r="M85">
        <v>50.3</v>
      </c>
      <c r="N85">
        <v>100.7</v>
      </c>
      <c r="O85">
        <v>139.80000000000001</v>
      </c>
      <c r="P85">
        <v>113.1</v>
      </c>
      <c r="Q85">
        <v>111.6</v>
      </c>
      <c r="R85">
        <v>3645.3</v>
      </c>
    </row>
    <row r="86" spans="1:18" x14ac:dyDescent="0.25">
      <c r="A86">
        <v>82.9</v>
      </c>
      <c r="B86">
        <v>-74.019170000000003</v>
      </c>
      <c r="M86">
        <v>100.8</v>
      </c>
      <c r="N86">
        <v>77.5</v>
      </c>
      <c r="O86">
        <v>83.8</v>
      </c>
      <c r="P86">
        <v>130.19999999999999</v>
      </c>
      <c r="Q86">
        <v>107.2</v>
      </c>
      <c r="R86">
        <v>3210.2</v>
      </c>
    </row>
    <row r="87" spans="1:18" x14ac:dyDescent="0.25">
      <c r="A87">
        <v>60.5</v>
      </c>
      <c r="B87">
        <v>-22.089500000000001</v>
      </c>
      <c r="M87">
        <v>87.9</v>
      </c>
      <c r="N87">
        <v>149.1</v>
      </c>
      <c r="O87">
        <v>65.3</v>
      </c>
      <c r="P87">
        <v>53.1</v>
      </c>
      <c r="Q87">
        <v>68.400000000000006</v>
      </c>
      <c r="R87">
        <v>2178.9</v>
      </c>
    </row>
    <row r="88" spans="1:18" x14ac:dyDescent="0.25">
      <c r="A88">
        <v>88.9</v>
      </c>
      <c r="B88">
        <v>-92.828599999999994</v>
      </c>
      <c r="M88">
        <v>86.5</v>
      </c>
      <c r="N88">
        <v>115.2</v>
      </c>
      <c r="O88">
        <v>122.9</v>
      </c>
      <c r="P88">
        <v>80.7</v>
      </c>
      <c r="Q88">
        <v>50.1</v>
      </c>
      <c r="R88">
        <v>2715.5</v>
      </c>
    </row>
    <row r="89" spans="1:18" x14ac:dyDescent="0.25">
      <c r="A89">
        <v>85.8</v>
      </c>
      <c r="B89">
        <v>-103.0938</v>
      </c>
      <c r="M89">
        <v>67.3</v>
      </c>
      <c r="N89">
        <v>102.9</v>
      </c>
      <c r="O89">
        <v>100.4</v>
      </c>
      <c r="P89">
        <v>120.8</v>
      </c>
      <c r="Q89">
        <v>148</v>
      </c>
      <c r="R89">
        <v>3680.7</v>
      </c>
    </row>
    <row r="90" spans="1:18" x14ac:dyDescent="0.25">
      <c r="A90">
        <v>55.9</v>
      </c>
      <c r="B90">
        <v>-20.95936</v>
      </c>
      <c r="M90">
        <v>130.9</v>
      </c>
      <c r="N90">
        <v>67.099999999999994</v>
      </c>
      <c r="O90">
        <v>55.8</v>
      </c>
      <c r="P90">
        <v>72.8</v>
      </c>
      <c r="Q90">
        <v>146.1</v>
      </c>
      <c r="R90">
        <v>2725</v>
      </c>
    </row>
    <row r="91" spans="1:18" x14ac:dyDescent="0.25">
      <c r="A91">
        <v>91.2</v>
      </c>
      <c r="B91">
        <v>-93.638030000000001</v>
      </c>
      <c r="M91">
        <v>134.6</v>
      </c>
      <c r="N91">
        <v>138.80000000000001</v>
      </c>
      <c r="O91">
        <v>96.2</v>
      </c>
      <c r="P91">
        <v>139.5</v>
      </c>
      <c r="Q91">
        <v>120.8</v>
      </c>
      <c r="R91">
        <v>3683.3</v>
      </c>
    </row>
    <row r="92" spans="1:18" x14ac:dyDescent="0.25">
      <c r="A92">
        <v>77.7</v>
      </c>
      <c r="B92">
        <v>-61.419789999999999</v>
      </c>
      <c r="M92">
        <v>130.4</v>
      </c>
      <c r="N92">
        <v>61.8</v>
      </c>
      <c r="O92">
        <v>103.3</v>
      </c>
      <c r="P92">
        <v>57.6</v>
      </c>
      <c r="Q92">
        <v>117.4</v>
      </c>
      <c r="R92">
        <v>2740</v>
      </c>
    </row>
    <row r="93" spans="1:18" x14ac:dyDescent="0.25">
      <c r="M93">
        <v>52.3</v>
      </c>
      <c r="N93">
        <v>81.8</v>
      </c>
      <c r="O93">
        <v>140.80000000000001</v>
      </c>
      <c r="P93">
        <v>63.5</v>
      </c>
      <c r="Q93">
        <v>139.30000000000001</v>
      </c>
      <c r="R93">
        <v>3365.4</v>
      </c>
    </row>
    <row r="94" spans="1:18" x14ac:dyDescent="0.25">
      <c r="M94">
        <v>120.3</v>
      </c>
      <c r="N94">
        <v>80.5</v>
      </c>
      <c r="O94">
        <v>58.6</v>
      </c>
      <c r="P94">
        <v>133.80000000000001</v>
      </c>
      <c r="Q94">
        <v>116</v>
      </c>
      <c r="R94">
        <v>3098.1</v>
      </c>
    </row>
    <row r="95" spans="1:18" x14ac:dyDescent="0.25">
      <c r="M95">
        <v>50.8</v>
      </c>
      <c r="N95">
        <v>69.400000000000006</v>
      </c>
      <c r="O95">
        <v>135.6</v>
      </c>
      <c r="P95">
        <v>67.599999999999994</v>
      </c>
      <c r="Q95">
        <v>139.80000000000001</v>
      </c>
      <c r="R95">
        <v>3331.1</v>
      </c>
    </row>
    <row r="96" spans="1:18" x14ac:dyDescent="0.25">
      <c r="M96">
        <v>89.2</v>
      </c>
      <c r="N96">
        <v>83.5</v>
      </c>
      <c r="O96">
        <v>125.4</v>
      </c>
      <c r="P96">
        <v>99.7</v>
      </c>
      <c r="Q96">
        <v>87.8</v>
      </c>
      <c r="R96">
        <v>3147.7</v>
      </c>
    </row>
    <row r="97" spans="13:18" x14ac:dyDescent="0.25">
      <c r="M97">
        <v>105.5</v>
      </c>
      <c r="N97">
        <v>141.1</v>
      </c>
      <c r="O97">
        <v>96.8</v>
      </c>
      <c r="P97">
        <v>61.4</v>
      </c>
      <c r="Q97">
        <v>68.7</v>
      </c>
      <c r="R97">
        <v>2520.3000000000002</v>
      </c>
    </row>
    <row r="98" spans="13:18" x14ac:dyDescent="0.25">
      <c r="M98">
        <v>118.2</v>
      </c>
      <c r="N98">
        <v>61.3</v>
      </c>
      <c r="O98">
        <v>82.9</v>
      </c>
      <c r="P98">
        <v>129.30000000000001</v>
      </c>
      <c r="Q98">
        <v>61.5</v>
      </c>
      <c r="R98">
        <v>2765.8</v>
      </c>
    </row>
    <row r="99" spans="13:18" x14ac:dyDescent="0.25">
      <c r="M99">
        <v>137.69999999999999</v>
      </c>
      <c r="N99">
        <v>51.9</v>
      </c>
      <c r="O99">
        <v>82.3</v>
      </c>
      <c r="P99">
        <v>127.5</v>
      </c>
      <c r="Q99">
        <v>134.4</v>
      </c>
      <c r="R99">
        <v>3332.9</v>
      </c>
    </row>
    <row r="100" spans="13:18" x14ac:dyDescent="0.25">
      <c r="M100">
        <v>144.30000000000001</v>
      </c>
      <c r="N100">
        <v>111.9</v>
      </c>
      <c r="O100">
        <v>74.3</v>
      </c>
      <c r="P100">
        <v>74</v>
      </c>
      <c r="Q100">
        <v>62.8</v>
      </c>
      <c r="R100">
        <v>2310.4</v>
      </c>
    </row>
    <row r="101" spans="13:18" x14ac:dyDescent="0.25">
      <c r="M101">
        <v>141.6</v>
      </c>
      <c r="N101">
        <v>111.6</v>
      </c>
      <c r="O101">
        <v>142.9</v>
      </c>
      <c r="P101">
        <v>86.5</v>
      </c>
      <c r="Q101">
        <v>83.6</v>
      </c>
      <c r="R101">
        <v>3216</v>
      </c>
    </row>
    <row r="102" spans="13:18" x14ac:dyDescent="0.25">
      <c r="M102">
        <v>50.4</v>
      </c>
      <c r="N102">
        <v>141.9</v>
      </c>
      <c r="O102">
        <v>121.1</v>
      </c>
      <c r="P102">
        <v>89.3</v>
      </c>
      <c r="Q102">
        <v>53.6</v>
      </c>
      <c r="R102">
        <v>2877.6</v>
      </c>
    </row>
    <row r="103" spans="13:18" x14ac:dyDescent="0.25">
      <c r="M103">
        <v>135.6</v>
      </c>
      <c r="N103">
        <v>148.80000000000001</v>
      </c>
      <c r="O103">
        <v>99.2</v>
      </c>
      <c r="P103">
        <v>85.5</v>
      </c>
      <c r="Q103">
        <v>102.8</v>
      </c>
      <c r="R103">
        <v>3083.1</v>
      </c>
    </row>
    <row r="104" spans="13:18" x14ac:dyDescent="0.25">
      <c r="M104">
        <v>78.599999999999994</v>
      </c>
      <c r="N104">
        <v>92.9</v>
      </c>
      <c r="O104">
        <v>61.8</v>
      </c>
      <c r="P104">
        <v>86.2</v>
      </c>
      <c r="Q104">
        <v>95.7</v>
      </c>
      <c r="R104">
        <v>2538.9</v>
      </c>
    </row>
    <row r="105" spans="13:18" x14ac:dyDescent="0.25">
      <c r="M105">
        <v>139</v>
      </c>
      <c r="N105">
        <v>100.2</v>
      </c>
      <c r="O105">
        <v>142.9</v>
      </c>
      <c r="P105">
        <v>112.3</v>
      </c>
      <c r="Q105">
        <v>145.19999999999999</v>
      </c>
      <c r="R105">
        <v>3951.2</v>
      </c>
    </row>
    <row r="106" spans="13:18" x14ac:dyDescent="0.25">
      <c r="M106">
        <v>69.400000000000006</v>
      </c>
      <c r="N106">
        <v>93.8</v>
      </c>
      <c r="O106">
        <v>116.7</v>
      </c>
      <c r="P106">
        <v>108</v>
      </c>
      <c r="Q106">
        <v>140.19999999999999</v>
      </c>
      <c r="R106">
        <v>3612.7</v>
      </c>
    </row>
    <row r="107" spans="13:18" x14ac:dyDescent="0.25">
      <c r="M107">
        <v>73.8</v>
      </c>
      <c r="N107">
        <v>124.2</v>
      </c>
      <c r="O107">
        <v>63.5</v>
      </c>
      <c r="P107">
        <v>134.6</v>
      </c>
      <c r="Q107">
        <v>82</v>
      </c>
      <c r="R107">
        <v>2985.9</v>
      </c>
    </row>
    <row r="108" spans="13:18" x14ac:dyDescent="0.25">
      <c r="M108">
        <v>126.3</v>
      </c>
      <c r="N108">
        <v>136.30000000000001</v>
      </c>
      <c r="O108">
        <v>76.3</v>
      </c>
      <c r="P108">
        <v>131.5</v>
      </c>
      <c r="Q108">
        <v>141.19999999999999</v>
      </c>
      <c r="R108">
        <v>3601</v>
      </c>
    </row>
    <row r="109" spans="13:18" x14ac:dyDescent="0.25">
      <c r="M109">
        <v>90.5</v>
      </c>
      <c r="N109">
        <v>140.5</v>
      </c>
      <c r="O109">
        <v>99.7</v>
      </c>
      <c r="P109">
        <v>63.8</v>
      </c>
      <c r="Q109">
        <v>79</v>
      </c>
      <c r="R109">
        <v>2657.8</v>
      </c>
    </row>
    <row r="110" spans="13:18" x14ac:dyDescent="0.25">
      <c r="M110">
        <v>104.1</v>
      </c>
      <c r="N110">
        <v>77.599999999999994</v>
      </c>
      <c r="O110">
        <v>115.4</v>
      </c>
      <c r="P110">
        <v>93.8</v>
      </c>
      <c r="Q110">
        <v>95.4</v>
      </c>
      <c r="R110">
        <v>3043.3</v>
      </c>
    </row>
    <row r="111" spans="13:18" x14ac:dyDescent="0.25">
      <c r="M111">
        <v>120.7</v>
      </c>
      <c r="N111">
        <v>93.8</v>
      </c>
      <c r="O111">
        <v>116.1</v>
      </c>
      <c r="P111">
        <v>144.4</v>
      </c>
      <c r="Q111">
        <v>98.3</v>
      </c>
      <c r="R111">
        <v>3595.6</v>
      </c>
    </row>
    <row r="112" spans="13:18" x14ac:dyDescent="0.25">
      <c r="M112">
        <v>123.5</v>
      </c>
      <c r="N112">
        <v>66</v>
      </c>
      <c r="O112">
        <v>132.5</v>
      </c>
      <c r="P112">
        <v>143.80000000000001</v>
      </c>
      <c r="Q112">
        <v>105.7</v>
      </c>
      <c r="R112">
        <v>3731.1</v>
      </c>
    </row>
    <row r="113" spans="13:18" x14ac:dyDescent="0.25">
      <c r="M113">
        <v>52.7</v>
      </c>
      <c r="N113">
        <v>142.9</v>
      </c>
      <c r="O113">
        <v>104.9</v>
      </c>
      <c r="P113">
        <v>67.7</v>
      </c>
      <c r="Q113">
        <v>124.6</v>
      </c>
      <c r="R113">
        <v>3130.8</v>
      </c>
    </row>
    <row r="114" spans="13:18" x14ac:dyDescent="0.25">
      <c r="M114">
        <v>110</v>
      </c>
      <c r="N114">
        <v>93</v>
      </c>
      <c r="O114">
        <v>113.9</v>
      </c>
      <c r="P114">
        <v>118.9</v>
      </c>
      <c r="Q114">
        <v>70.2</v>
      </c>
      <c r="R114">
        <v>3095.5</v>
      </c>
    </row>
    <row r="115" spans="13:18" x14ac:dyDescent="0.25">
      <c r="M115">
        <v>133.80000000000001</v>
      </c>
      <c r="N115">
        <v>74.8</v>
      </c>
      <c r="O115">
        <v>112.2</v>
      </c>
      <c r="P115">
        <v>111.1</v>
      </c>
      <c r="Q115">
        <v>117</v>
      </c>
      <c r="R115">
        <v>3354.6</v>
      </c>
    </row>
    <row r="116" spans="13:18" x14ac:dyDescent="0.25">
      <c r="M116">
        <v>57.9</v>
      </c>
      <c r="N116">
        <v>69.8</v>
      </c>
      <c r="O116">
        <v>122.1</v>
      </c>
      <c r="P116">
        <v>146.30000000000001</v>
      </c>
      <c r="Q116">
        <v>96.8</v>
      </c>
      <c r="R116">
        <v>3600.3</v>
      </c>
    </row>
    <row r="117" spans="13:18" x14ac:dyDescent="0.25">
      <c r="M117">
        <v>96.3</v>
      </c>
      <c r="N117">
        <v>144</v>
      </c>
      <c r="O117">
        <v>89.6</v>
      </c>
      <c r="P117">
        <v>102.1</v>
      </c>
      <c r="Q117">
        <v>85.4</v>
      </c>
      <c r="R117">
        <v>2988.7</v>
      </c>
    </row>
    <row r="118" spans="13:18" x14ac:dyDescent="0.25">
      <c r="M118">
        <v>119.2</v>
      </c>
      <c r="N118">
        <v>128.69999999999999</v>
      </c>
      <c r="O118">
        <v>110.7</v>
      </c>
      <c r="P118">
        <v>69.7</v>
      </c>
      <c r="Q118">
        <v>141.80000000000001</v>
      </c>
      <c r="R118">
        <v>3301.2</v>
      </c>
    </row>
    <row r="119" spans="13:18" x14ac:dyDescent="0.25">
      <c r="M119">
        <v>109.6</v>
      </c>
      <c r="N119">
        <v>136.1</v>
      </c>
      <c r="O119">
        <v>70.900000000000006</v>
      </c>
      <c r="P119">
        <v>107.4</v>
      </c>
      <c r="Q119">
        <v>92.4</v>
      </c>
      <c r="R119">
        <v>2919.8</v>
      </c>
    </row>
    <row r="120" spans="13:18" x14ac:dyDescent="0.25">
      <c r="M120">
        <v>118.3</v>
      </c>
      <c r="N120">
        <v>149.80000000000001</v>
      </c>
      <c r="O120">
        <v>62.9</v>
      </c>
      <c r="P120">
        <v>101</v>
      </c>
      <c r="Q120">
        <v>74.2</v>
      </c>
      <c r="R120">
        <v>2663.7</v>
      </c>
    </row>
    <row r="121" spans="13:18" x14ac:dyDescent="0.25">
      <c r="M121">
        <v>56.3</v>
      </c>
      <c r="N121">
        <v>57.2</v>
      </c>
      <c r="O121">
        <v>73.599999999999994</v>
      </c>
      <c r="P121">
        <v>146.80000000000001</v>
      </c>
      <c r="Q121">
        <v>79.2</v>
      </c>
      <c r="R121">
        <v>2989</v>
      </c>
    </row>
    <row r="122" spans="13:18" x14ac:dyDescent="0.25">
      <c r="M122">
        <v>90.4</v>
      </c>
      <c r="N122">
        <v>112.5</v>
      </c>
      <c r="O122">
        <v>55.9</v>
      </c>
      <c r="P122">
        <v>96.6</v>
      </c>
      <c r="Q122">
        <v>64.400000000000006</v>
      </c>
      <c r="R122">
        <v>2381.1</v>
      </c>
    </row>
    <row r="123" spans="13:18" x14ac:dyDescent="0.25">
      <c r="M123">
        <v>133.80000000000001</v>
      </c>
      <c r="N123">
        <v>147.9</v>
      </c>
      <c r="O123">
        <v>125.5</v>
      </c>
      <c r="P123">
        <v>132.5</v>
      </c>
      <c r="Q123">
        <v>117.9</v>
      </c>
      <c r="R123">
        <v>3883.9</v>
      </c>
    </row>
    <row r="124" spans="13:18" x14ac:dyDescent="0.25">
      <c r="M124">
        <v>145.69999999999999</v>
      </c>
      <c r="N124">
        <v>72</v>
      </c>
      <c r="O124">
        <v>149.6</v>
      </c>
      <c r="P124">
        <v>59.2</v>
      </c>
      <c r="Q124">
        <v>98.7</v>
      </c>
      <c r="R124">
        <v>3034.8</v>
      </c>
    </row>
    <row r="125" spans="13:18" x14ac:dyDescent="0.25">
      <c r="M125">
        <v>81.3</v>
      </c>
      <c r="N125">
        <v>122.3</v>
      </c>
      <c r="O125">
        <v>116.1</v>
      </c>
      <c r="P125">
        <v>133</v>
      </c>
      <c r="Q125">
        <v>87.6</v>
      </c>
      <c r="R125">
        <v>3481.6</v>
      </c>
    </row>
    <row r="126" spans="13:18" x14ac:dyDescent="0.25">
      <c r="M126">
        <v>58.7</v>
      </c>
      <c r="N126">
        <v>61.2</v>
      </c>
      <c r="O126">
        <v>101.1</v>
      </c>
      <c r="P126">
        <v>64.2</v>
      </c>
      <c r="Q126">
        <v>118.2</v>
      </c>
      <c r="R126">
        <v>2790</v>
      </c>
    </row>
    <row r="127" spans="13:18" x14ac:dyDescent="0.25">
      <c r="M127">
        <v>131</v>
      </c>
      <c r="N127">
        <v>132.19999999999999</v>
      </c>
      <c r="O127">
        <v>73.400000000000006</v>
      </c>
      <c r="P127">
        <v>62.2</v>
      </c>
      <c r="Q127">
        <v>76.099999999999994</v>
      </c>
      <c r="R127">
        <v>2360.3000000000002</v>
      </c>
    </row>
    <row r="128" spans="13:18" x14ac:dyDescent="0.25">
      <c r="M128">
        <v>82.1</v>
      </c>
      <c r="N128">
        <v>116.7</v>
      </c>
      <c r="O128">
        <v>103.3</v>
      </c>
      <c r="P128">
        <v>111.2</v>
      </c>
      <c r="Q128">
        <v>82.9</v>
      </c>
      <c r="R128">
        <v>3105.5</v>
      </c>
    </row>
    <row r="129" spans="13:18" x14ac:dyDescent="0.25">
      <c r="M129">
        <v>84.5</v>
      </c>
      <c r="N129">
        <v>55.9</v>
      </c>
      <c r="O129">
        <v>65.2</v>
      </c>
      <c r="P129">
        <v>93.6</v>
      </c>
      <c r="Q129">
        <v>106.4</v>
      </c>
      <c r="R129">
        <v>2629</v>
      </c>
    </row>
    <row r="130" spans="13:18" x14ac:dyDescent="0.25">
      <c r="M130">
        <v>85.9</v>
      </c>
      <c r="N130">
        <v>130.80000000000001</v>
      </c>
      <c r="O130">
        <v>149.5</v>
      </c>
      <c r="P130">
        <v>101</v>
      </c>
      <c r="Q130">
        <v>60.6</v>
      </c>
      <c r="R130">
        <v>3265.7</v>
      </c>
    </row>
    <row r="131" spans="13:18" x14ac:dyDescent="0.25">
      <c r="M131">
        <v>114.8</v>
      </c>
      <c r="N131">
        <v>112.6</v>
      </c>
      <c r="O131">
        <v>125.9</v>
      </c>
      <c r="P131">
        <v>99</v>
      </c>
      <c r="Q131">
        <v>88.4</v>
      </c>
      <c r="R131">
        <v>3232.8</v>
      </c>
    </row>
    <row r="132" spans="13:18" x14ac:dyDescent="0.25">
      <c r="M132">
        <v>121.4</v>
      </c>
      <c r="N132">
        <v>127.9</v>
      </c>
      <c r="O132">
        <v>121.8</v>
      </c>
      <c r="P132">
        <v>136.4</v>
      </c>
      <c r="Q132">
        <v>141</v>
      </c>
      <c r="R132">
        <v>4026.3</v>
      </c>
    </row>
    <row r="133" spans="13:18" x14ac:dyDescent="0.25">
      <c r="M133">
        <v>92.7</v>
      </c>
      <c r="N133">
        <v>101</v>
      </c>
      <c r="O133">
        <v>107.9</v>
      </c>
      <c r="P133">
        <v>113.1</v>
      </c>
      <c r="Q133">
        <v>95.3</v>
      </c>
      <c r="R133">
        <v>3226.3</v>
      </c>
    </row>
    <row r="134" spans="13:18" x14ac:dyDescent="0.25">
      <c r="M134">
        <v>110.3</v>
      </c>
      <c r="N134">
        <v>66.099999999999994</v>
      </c>
      <c r="O134">
        <v>105.8</v>
      </c>
      <c r="P134">
        <v>149.6</v>
      </c>
      <c r="Q134">
        <v>75</v>
      </c>
      <c r="R134">
        <v>3287.7</v>
      </c>
    </row>
    <row r="135" spans="13:18" x14ac:dyDescent="0.25">
      <c r="M135">
        <v>138.19999999999999</v>
      </c>
      <c r="N135">
        <v>64</v>
      </c>
      <c r="O135">
        <v>58.4</v>
      </c>
      <c r="P135">
        <v>121.9</v>
      </c>
      <c r="Q135">
        <v>65.400000000000006</v>
      </c>
      <c r="R135">
        <v>2510.6</v>
      </c>
    </row>
    <row r="136" spans="13:18" x14ac:dyDescent="0.25">
      <c r="M136">
        <v>58.9</v>
      </c>
      <c r="N136">
        <v>63.9</v>
      </c>
      <c r="O136">
        <v>129.19999999999999</v>
      </c>
      <c r="P136">
        <v>53.1</v>
      </c>
      <c r="Q136">
        <v>138.6</v>
      </c>
      <c r="R136">
        <v>3101</v>
      </c>
    </row>
    <row r="137" spans="13:18" x14ac:dyDescent="0.25">
      <c r="M137">
        <v>97.2</v>
      </c>
      <c r="N137">
        <v>77.099999999999994</v>
      </c>
      <c r="O137">
        <v>120.6</v>
      </c>
      <c r="P137">
        <v>77.3</v>
      </c>
      <c r="Q137">
        <v>128.30000000000001</v>
      </c>
      <c r="R137">
        <v>3202</v>
      </c>
    </row>
    <row r="138" spans="13:18" x14ac:dyDescent="0.25">
      <c r="M138">
        <v>96.9</v>
      </c>
      <c r="N138">
        <v>51.3</v>
      </c>
      <c r="O138">
        <v>126.3</v>
      </c>
      <c r="P138">
        <v>116.7</v>
      </c>
      <c r="Q138">
        <v>121.7</v>
      </c>
      <c r="R138">
        <v>3513</v>
      </c>
    </row>
    <row r="139" spans="13:18" x14ac:dyDescent="0.25">
      <c r="M139">
        <v>142.9</v>
      </c>
      <c r="N139">
        <v>63</v>
      </c>
      <c r="O139">
        <v>60.5</v>
      </c>
      <c r="P139">
        <v>136.19999999999999</v>
      </c>
      <c r="Q139">
        <v>56.8</v>
      </c>
      <c r="R139">
        <v>2602.6</v>
      </c>
    </row>
    <row r="140" spans="13:18" x14ac:dyDescent="0.25">
      <c r="M140">
        <v>141.6</v>
      </c>
      <c r="N140">
        <v>147</v>
      </c>
      <c r="O140">
        <v>126.5</v>
      </c>
      <c r="P140">
        <v>68.8</v>
      </c>
      <c r="Q140">
        <v>142.9</v>
      </c>
      <c r="R140">
        <v>3490</v>
      </c>
    </row>
    <row r="141" spans="13:18" x14ac:dyDescent="0.25">
      <c r="M141">
        <v>102.8</v>
      </c>
      <c r="N141">
        <v>130.4</v>
      </c>
      <c r="O141">
        <v>118.4</v>
      </c>
      <c r="P141">
        <v>124</v>
      </c>
      <c r="Q141">
        <v>143.30000000000001</v>
      </c>
      <c r="R141">
        <v>3903</v>
      </c>
    </row>
    <row r="142" spans="13:18" x14ac:dyDescent="0.25">
      <c r="M142">
        <v>87.1</v>
      </c>
      <c r="N142">
        <v>59.5</v>
      </c>
      <c r="O142">
        <v>68.900000000000006</v>
      </c>
      <c r="P142">
        <v>123.1</v>
      </c>
      <c r="Q142">
        <v>87.5</v>
      </c>
      <c r="R142">
        <v>2794.8</v>
      </c>
    </row>
    <row r="143" spans="13:18" x14ac:dyDescent="0.25">
      <c r="M143">
        <v>109.9</v>
      </c>
      <c r="N143">
        <v>137.9</v>
      </c>
      <c r="O143">
        <v>85.6</v>
      </c>
      <c r="P143">
        <v>124.2</v>
      </c>
      <c r="Q143">
        <v>101.4</v>
      </c>
      <c r="R143">
        <v>3285.9</v>
      </c>
    </row>
    <row r="144" spans="13:18" x14ac:dyDescent="0.25">
      <c r="M144">
        <v>118</v>
      </c>
      <c r="N144">
        <v>113.7</v>
      </c>
      <c r="O144">
        <v>141</v>
      </c>
      <c r="P144">
        <v>130</v>
      </c>
      <c r="Q144">
        <v>72.7</v>
      </c>
      <c r="R144">
        <v>3528.6</v>
      </c>
    </row>
    <row r="145" spans="13:18" x14ac:dyDescent="0.25">
      <c r="M145">
        <v>79</v>
      </c>
      <c r="N145">
        <v>83.5</v>
      </c>
      <c r="O145">
        <v>105.8</v>
      </c>
      <c r="P145">
        <v>92.2</v>
      </c>
      <c r="Q145">
        <v>92.3</v>
      </c>
      <c r="R145">
        <v>2942.1</v>
      </c>
    </row>
    <row r="146" spans="13:18" x14ac:dyDescent="0.25">
      <c r="M146">
        <v>148.9</v>
      </c>
      <c r="N146">
        <v>102.7</v>
      </c>
      <c r="O146">
        <v>143</v>
      </c>
      <c r="P146">
        <v>53.5</v>
      </c>
      <c r="Q146">
        <v>135.80000000000001</v>
      </c>
      <c r="R146">
        <v>3316</v>
      </c>
    </row>
    <row r="147" spans="13:18" x14ac:dyDescent="0.25">
      <c r="M147">
        <v>109</v>
      </c>
      <c r="N147">
        <v>118.3</v>
      </c>
      <c r="O147">
        <v>101.5</v>
      </c>
      <c r="P147">
        <v>94.4</v>
      </c>
      <c r="Q147">
        <v>76.8</v>
      </c>
      <c r="R147">
        <v>2886.6</v>
      </c>
    </row>
    <row r="148" spans="13:18" x14ac:dyDescent="0.25">
      <c r="M148">
        <v>88.1</v>
      </c>
      <c r="N148">
        <v>64.3</v>
      </c>
      <c r="O148">
        <v>76.599999999999994</v>
      </c>
      <c r="P148">
        <v>72.400000000000006</v>
      </c>
      <c r="Q148">
        <v>148.5</v>
      </c>
      <c r="R148">
        <v>2907.5</v>
      </c>
    </row>
    <row r="149" spans="13:18" x14ac:dyDescent="0.25">
      <c r="M149">
        <v>108.9</v>
      </c>
      <c r="N149">
        <v>85.8</v>
      </c>
      <c r="O149">
        <v>126.1</v>
      </c>
      <c r="P149">
        <v>72.5</v>
      </c>
      <c r="Q149">
        <v>91.4</v>
      </c>
      <c r="R149">
        <v>2923.6</v>
      </c>
    </row>
    <row r="150" spans="13:18" x14ac:dyDescent="0.25">
      <c r="M150">
        <v>126.8</v>
      </c>
      <c r="N150">
        <v>82.3</v>
      </c>
      <c r="O150">
        <v>59.5</v>
      </c>
      <c r="P150">
        <v>107</v>
      </c>
      <c r="Q150">
        <v>56.2</v>
      </c>
      <c r="R150">
        <v>2355.1999999999998</v>
      </c>
    </row>
    <row r="151" spans="13:18" x14ac:dyDescent="0.25">
      <c r="M151">
        <v>149.4</v>
      </c>
      <c r="N151">
        <v>85.6</v>
      </c>
      <c r="O151">
        <v>139.9</v>
      </c>
      <c r="P151">
        <v>132.1</v>
      </c>
      <c r="Q151">
        <v>50</v>
      </c>
      <c r="R151">
        <v>3275.1</v>
      </c>
    </row>
    <row r="152" spans="13:18" x14ac:dyDescent="0.25">
      <c r="M152">
        <v>53.4</v>
      </c>
      <c r="N152">
        <v>113.4</v>
      </c>
      <c r="O152">
        <v>64</v>
      </c>
      <c r="P152">
        <v>70.599999999999994</v>
      </c>
      <c r="Q152">
        <v>142</v>
      </c>
      <c r="R152">
        <v>2852.2</v>
      </c>
    </row>
    <row r="153" spans="13:18" x14ac:dyDescent="0.25">
      <c r="M153">
        <v>139.80000000000001</v>
      </c>
      <c r="N153">
        <v>63.1</v>
      </c>
      <c r="O153">
        <v>111.9</v>
      </c>
      <c r="P153">
        <v>57.2</v>
      </c>
      <c r="Q153">
        <v>70.599999999999994</v>
      </c>
      <c r="R153">
        <v>2418.6999999999998</v>
      </c>
    </row>
    <row r="154" spans="13:18" x14ac:dyDescent="0.25">
      <c r="M154">
        <v>92.1</v>
      </c>
      <c r="N154">
        <v>138.5</v>
      </c>
      <c r="O154">
        <v>81.099999999999994</v>
      </c>
      <c r="P154">
        <v>146.30000000000001</v>
      </c>
      <c r="Q154">
        <v>115.5</v>
      </c>
      <c r="R154">
        <v>3568.3</v>
      </c>
    </row>
    <row r="155" spans="13:18" x14ac:dyDescent="0.25">
      <c r="M155">
        <v>129.19999999999999</v>
      </c>
      <c r="N155">
        <v>122.7</v>
      </c>
      <c r="O155">
        <v>146.4</v>
      </c>
      <c r="P155">
        <v>149</v>
      </c>
      <c r="Q155">
        <v>126.8</v>
      </c>
      <c r="R155">
        <v>4234.5</v>
      </c>
    </row>
    <row r="156" spans="13:18" x14ac:dyDescent="0.25">
      <c r="M156">
        <v>67.3</v>
      </c>
      <c r="N156">
        <v>139.4</v>
      </c>
      <c r="O156">
        <v>110.1</v>
      </c>
      <c r="P156">
        <v>88.3</v>
      </c>
      <c r="Q156">
        <v>126.9</v>
      </c>
      <c r="R156">
        <v>3385.6</v>
      </c>
    </row>
    <row r="157" spans="13:18" x14ac:dyDescent="0.25">
      <c r="M157">
        <v>133.19999999999999</v>
      </c>
      <c r="N157">
        <v>67.7</v>
      </c>
      <c r="O157">
        <v>134.6</v>
      </c>
      <c r="P157">
        <v>90.1</v>
      </c>
      <c r="Q157">
        <v>124.3</v>
      </c>
      <c r="R157">
        <v>3397.5</v>
      </c>
    </row>
    <row r="158" spans="13:18" x14ac:dyDescent="0.25">
      <c r="M158">
        <v>92.5</v>
      </c>
      <c r="N158">
        <v>100.6</v>
      </c>
      <c r="O158">
        <v>71.8</v>
      </c>
      <c r="P158">
        <v>148.6</v>
      </c>
      <c r="Q158">
        <v>106.5</v>
      </c>
      <c r="R158">
        <v>3335.7</v>
      </c>
    </row>
    <row r="159" spans="13:18" x14ac:dyDescent="0.25">
      <c r="M159">
        <v>85.4</v>
      </c>
      <c r="N159">
        <v>63.9</v>
      </c>
      <c r="O159">
        <v>130.9</v>
      </c>
      <c r="P159">
        <v>133.4</v>
      </c>
      <c r="Q159">
        <v>102.3</v>
      </c>
      <c r="R159">
        <v>3584.6</v>
      </c>
    </row>
    <row r="160" spans="13:18" x14ac:dyDescent="0.25">
      <c r="M160">
        <v>84.4</v>
      </c>
      <c r="N160">
        <v>135.19999999999999</v>
      </c>
      <c r="O160">
        <v>148.6</v>
      </c>
      <c r="P160">
        <v>128.30000000000001</v>
      </c>
      <c r="Q160">
        <v>128.19999999999999</v>
      </c>
      <c r="R160">
        <v>4101.5</v>
      </c>
    </row>
    <row r="161" spans="13:18" x14ac:dyDescent="0.25">
      <c r="M161">
        <v>114.4</v>
      </c>
      <c r="N161">
        <v>128.69999999999999</v>
      </c>
      <c r="O161">
        <v>54.8</v>
      </c>
      <c r="P161">
        <v>116.5</v>
      </c>
      <c r="Q161">
        <v>60.5</v>
      </c>
      <c r="R161">
        <v>2568.9</v>
      </c>
    </row>
    <row r="162" spans="13:18" x14ac:dyDescent="0.25">
      <c r="M162">
        <v>102.1</v>
      </c>
      <c r="N162">
        <v>137</v>
      </c>
      <c r="O162">
        <v>147.4</v>
      </c>
      <c r="P162">
        <v>54.8</v>
      </c>
      <c r="Q162">
        <v>98.8</v>
      </c>
      <c r="R162">
        <v>3154.5</v>
      </c>
    </row>
    <row r="163" spans="13:18" x14ac:dyDescent="0.25">
      <c r="M163">
        <v>144.4</v>
      </c>
      <c r="N163">
        <v>145.19999999999999</v>
      </c>
      <c r="O163">
        <v>117.3</v>
      </c>
      <c r="P163">
        <v>100.3</v>
      </c>
      <c r="Q163">
        <v>110.4</v>
      </c>
      <c r="R163">
        <v>3438.7</v>
      </c>
    </row>
    <row r="164" spans="13:18" x14ac:dyDescent="0.25">
      <c r="M164">
        <v>111</v>
      </c>
      <c r="N164">
        <v>57.2</v>
      </c>
      <c r="O164">
        <v>89.7</v>
      </c>
      <c r="P164">
        <v>82.5</v>
      </c>
      <c r="Q164">
        <v>72.400000000000006</v>
      </c>
      <c r="R164">
        <v>2464.9</v>
      </c>
    </row>
    <row r="165" spans="13:18" x14ac:dyDescent="0.25">
      <c r="M165">
        <v>122.9</v>
      </c>
      <c r="N165">
        <v>101.5</v>
      </c>
      <c r="O165">
        <v>72.3</v>
      </c>
      <c r="P165">
        <v>133.5</v>
      </c>
      <c r="Q165">
        <v>51.7</v>
      </c>
      <c r="R165">
        <v>2739</v>
      </c>
    </row>
    <row r="166" spans="13:18" x14ac:dyDescent="0.25">
      <c r="M166">
        <v>71.900000000000006</v>
      </c>
      <c r="N166">
        <v>105.3</v>
      </c>
      <c r="O166">
        <v>125</v>
      </c>
      <c r="P166">
        <v>120.1</v>
      </c>
      <c r="Q166">
        <v>88.7</v>
      </c>
      <c r="R166">
        <v>3400.2</v>
      </c>
    </row>
    <row r="167" spans="13:18" x14ac:dyDescent="0.25">
      <c r="M167">
        <v>71.400000000000006</v>
      </c>
      <c r="N167">
        <v>54.2</v>
      </c>
      <c r="O167">
        <v>93.4</v>
      </c>
      <c r="P167">
        <v>141.19999999999999</v>
      </c>
      <c r="Q167">
        <v>74.3</v>
      </c>
      <c r="R167">
        <v>3060.5</v>
      </c>
    </row>
    <row r="168" spans="13:18" x14ac:dyDescent="0.25">
      <c r="M168">
        <v>55</v>
      </c>
      <c r="N168">
        <v>76.3</v>
      </c>
      <c r="O168">
        <v>70.2</v>
      </c>
      <c r="P168">
        <v>81.7</v>
      </c>
      <c r="Q168">
        <v>137.69999999999999</v>
      </c>
      <c r="R168">
        <v>2878.8</v>
      </c>
    </row>
    <row r="169" spans="13:18" x14ac:dyDescent="0.25">
      <c r="M169">
        <v>62.4</v>
      </c>
      <c r="N169">
        <v>118.2</v>
      </c>
      <c r="O169">
        <v>75.599999999999994</v>
      </c>
      <c r="P169">
        <v>139.4</v>
      </c>
      <c r="Q169">
        <v>84.3</v>
      </c>
      <c r="R169">
        <v>3143.3</v>
      </c>
    </row>
    <row r="170" spans="13:18" x14ac:dyDescent="0.25">
      <c r="M170">
        <v>79.2</v>
      </c>
      <c r="N170">
        <v>102</v>
      </c>
      <c r="O170">
        <v>73.5</v>
      </c>
      <c r="P170">
        <v>63.7</v>
      </c>
      <c r="Q170">
        <v>148.69999999999999</v>
      </c>
      <c r="R170">
        <v>2905.3</v>
      </c>
    </row>
    <row r="171" spans="13:18" x14ac:dyDescent="0.25">
      <c r="M171">
        <v>120.8</v>
      </c>
      <c r="N171">
        <v>80</v>
      </c>
      <c r="O171">
        <v>61.4</v>
      </c>
      <c r="P171">
        <v>73.900000000000006</v>
      </c>
      <c r="Q171">
        <v>56</v>
      </c>
      <c r="R171">
        <v>2052.1999999999998</v>
      </c>
    </row>
    <row r="172" spans="13:18" x14ac:dyDescent="0.25">
      <c r="M172">
        <v>75.8</v>
      </c>
      <c r="N172">
        <v>127.4</v>
      </c>
      <c r="O172">
        <v>103.4</v>
      </c>
      <c r="P172">
        <v>146</v>
      </c>
      <c r="Q172">
        <v>104</v>
      </c>
      <c r="R172">
        <v>3651</v>
      </c>
    </row>
    <row r="173" spans="13:18" x14ac:dyDescent="0.25">
      <c r="M173">
        <v>50.4</v>
      </c>
      <c r="N173">
        <v>137.5</v>
      </c>
      <c r="O173">
        <v>92.7</v>
      </c>
      <c r="P173">
        <v>84.3</v>
      </c>
      <c r="Q173">
        <v>108.6</v>
      </c>
      <c r="R173">
        <v>3023.7</v>
      </c>
    </row>
    <row r="174" spans="13:18" x14ac:dyDescent="0.25">
      <c r="M174">
        <v>78</v>
      </c>
      <c r="N174">
        <v>112.6</v>
      </c>
      <c r="O174">
        <v>63.1</v>
      </c>
      <c r="P174">
        <v>118.8</v>
      </c>
      <c r="Q174">
        <v>78.2</v>
      </c>
      <c r="R174">
        <v>2766.2</v>
      </c>
    </row>
    <row r="175" spans="13:18" x14ac:dyDescent="0.25">
      <c r="M175">
        <v>85.9</v>
      </c>
      <c r="N175">
        <v>63.3</v>
      </c>
      <c r="O175">
        <v>87.3</v>
      </c>
      <c r="P175">
        <v>93.1</v>
      </c>
      <c r="Q175">
        <v>106.9</v>
      </c>
      <c r="R175">
        <v>2846.6</v>
      </c>
    </row>
    <row r="176" spans="13:18" x14ac:dyDescent="0.25">
      <c r="M176">
        <v>134.4</v>
      </c>
      <c r="N176">
        <v>59.2</v>
      </c>
      <c r="O176">
        <v>129.19999999999999</v>
      </c>
      <c r="P176">
        <v>134.30000000000001</v>
      </c>
      <c r="Q176">
        <v>102.4</v>
      </c>
      <c r="R176">
        <v>3565.5</v>
      </c>
    </row>
    <row r="177" spans="13:18" x14ac:dyDescent="0.25">
      <c r="M177">
        <v>68.7</v>
      </c>
      <c r="N177">
        <v>94.6</v>
      </c>
      <c r="O177">
        <v>140.4</v>
      </c>
      <c r="P177">
        <v>119.8</v>
      </c>
      <c r="Q177">
        <v>89.1</v>
      </c>
      <c r="R177">
        <v>3510.6</v>
      </c>
    </row>
    <row r="178" spans="13:18" x14ac:dyDescent="0.25">
      <c r="M178">
        <v>148.69999999999999</v>
      </c>
      <c r="N178">
        <v>61.8</v>
      </c>
      <c r="O178">
        <v>115.9</v>
      </c>
      <c r="P178">
        <v>82.8</v>
      </c>
      <c r="Q178">
        <v>53</v>
      </c>
      <c r="R178">
        <v>2545.6999999999998</v>
      </c>
    </row>
    <row r="179" spans="13:18" x14ac:dyDescent="0.25">
      <c r="M179">
        <v>149.19999999999999</v>
      </c>
      <c r="N179">
        <v>146.30000000000001</v>
      </c>
      <c r="O179">
        <v>51.2</v>
      </c>
      <c r="P179">
        <v>120</v>
      </c>
      <c r="Q179">
        <v>117.3</v>
      </c>
      <c r="R179">
        <v>3090.4</v>
      </c>
    </row>
    <row r="180" spans="13:18" x14ac:dyDescent="0.25">
      <c r="M180">
        <v>143.4</v>
      </c>
      <c r="N180">
        <v>84.7</v>
      </c>
      <c r="O180">
        <v>64.099999999999994</v>
      </c>
      <c r="P180">
        <v>94.7</v>
      </c>
      <c r="Q180">
        <v>65.8</v>
      </c>
      <c r="R180">
        <v>2360.6999999999998</v>
      </c>
    </row>
    <row r="181" spans="13:18" x14ac:dyDescent="0.25">
      <c r="M181">
        <v>112.9</v>
      </c>
      <c r="N181">
        <v>51.2</v>
      </c>
      <c r="O181">
        <v>74.5</v>
      </c>
      <c r="P181">
        <v>149.19999999999999</v>
      </c>
      <c r="Q181">
        <v>54.5</v>
      </c>
      <c r="R181">
        <v>2789.7</v>
      </c>
    </row>
    <row r="182" spans="13:18" x14ac:dyDescent="0.25">
      <c r="M182">
        <v>148.6</v>
      </c>
      <c r="N182">
        <v>63.3</v>
      </c>
      <c r="O182">
        <v>55.3</v>
      </c>
      <c r="P182">
        <v>67</v>
      </c>
      <c r="Q182">
        <v>75.400000000000006</v>
      </c>
      <c r="R182">
        <v>2050.6</v>
      </c>
    </row>
    <row r="183" spans="13:18" x14ac:dyDescent="0.25">
      <c r="M183">
        <v>132.30000000000001</v>
      </c>
      <c r="N183">
        <v>122.8</v>
      </c>
      <c r="O183">
        <v>97.2</v>
      </c>
      <c r="P183">
        <v>52.2</v>
      </c>
      <c r="Q183">
        <v>66.3</v>
      </c>
      <c r="R183">
        <v>2363.6999999999998</v>
      </c>
    </row>
    <row r="184" spans="13:18" x14ac:dyDescent="0.25">
      <c r="M184">
        <v>116.8</v>
      </c>
      <c r="N184">
        <v>130.9</v>
      </c>
      <c r="O184">
        <v>51</v>
      </c>
      <c r="P184">
        <v>114.5</v>
      </c>
      <c r="Q184">
        <v>78.8</v>
      </c>
      <c r="R184">
        <v>2670.9</v>
      </c>
    </row>
    <row r="185" spans="13:18" x14ac:dyDescent="0.25">
      <c r="M185">
        <v>143</v>
      </c>
      <c r="N185">
        <v>145.6</v>
      </c>
      <c r="O185">
        <v>140</v>
      </c>
      <c r="P185">
        <v>77.099999999999994</v>
      </c>
      <c r="Q185">
        <v>147.30000000000001</v>
      </c>
      <c r="R185">
        <v>3732.1</v>
      </c>
    </row>
    <row r="186" spans="13:18" x14ac:dyDescent="0.25">
      <c r="M186">
        <v>61.2</v>
      </c>
      <c r="N186">
        <v>70</v>
      </c>
      <c r="O186">
        <v>56.4</v>
      </c>
      <c r="P186">
        <v>146.9</v>
      </c>
      <c r="Q186">
        <v>124.5</v>
      </c>
      <c r="R186">
        <v>3250.7</v>
      </c>
    </row>
    <row r="187" spans="13:18" x14ac:dyDescent="0.25">
      <c r="M187">
        <v>145.80000000000001</v>
      </c>
      <c r="N187">
        <v>88.2</v>
      </c>
      <c r="O187">
        <v>83.7</v>
      </c>
      <c r="P187">
        <v>114</v>
      </c>
      <c r="Q187">
        <v>72.599999999999994</v>
      </c>
      <c r="R187">
        <v>2801</v>
      </c>
    </row>
    <row r="188" spans="13:18" x14ac:dyDescent="0.25">
      <c r="M188">
        <v>120.3</v>
      </c>
      <c r="N188">
        <v>89</v>
      </c>
      <c r="O188">
        <v>109.7</v>
      </c>
      <c r="P188">
        <v>69.8</v>
      </c>
      <c r="Q188">
        <v>127.1</v>
      </c>
      <c r="R188">
        <v>3062.5</v>
      </c>
    </row>
    <row r="189" spans="13:18" x14ac:dyDescent="0.25">
      <c r="M189">
        <v>132.69999999999999</v>
      </c>
      <c r="N189">
        <v>142.80000000000001</v>
      </c>
      <c r="O189">
        <v>121</v>
      </c>
      <c r="P189">
        <v>59.8</v>
      </c>
      <c r="Q189">
        <v>74.3</v>
      </c>
      <c r="R189">
        <v>2775.3</v>
      </c>
    </row>
    <row r="190" spans="13:18" x14ac:dyDescent="0.25">
      <c r="M190">
        <v>146.69999999999999</v>
      </c>
      <c r="N190">
        <v>123.6</v>
      </c>
      <c r="O190">
        <v>95.8</v>
      </c>
      <c r="P190">
        <v>111.9</v>
      </c>
      <c r="Q190">
        <v>105.8</v>
      </c>
      <c r="R190">
        <v>3257.7</v>
      </c>
    </row>
    <row r="191" spans="13:18" x14ac:dyDescent="0.25">
      <c r="M191">
        <v>139.19999999999999</v>
      </c>
      <c r="N191">
        <v>89.4</v>
      </c>
      <c r="O191">
        <v>133</v>
      </c>
      <c r="P191">
        <v>106.3</v>
      </c>
      <c r="Q191">
        <v>143.4</v>
      </c>
      <c r="R191">
        <v>3763.1</v>
      </c>
    </row>
    <row r="192" spans="13:18" x14ac:dyDescent="0.25">
      <c r="M192">
        <v>121.2</v>
      </c>
      <c r="N192">
        <v>63.9</v>
      </c>
      <c r="O192">
        <v>86.1</v>
      </c>
      <c r="P192">
        <v>76</v>
      </c>
      <c r="Q192">
        <v>148.5</v>
      </c>
      <c r="R192">
        <v>3024.4</v>
      </c>
    </row>
    <row r="193" spans="13:18" x14ac:dyDescent="0.25">
      <c r="M193">
        <v>120.1</v>
      </c>
      <c r="N193">
        <v>84.3</v>
      </c>
      <c r="O193">
        <v>90.6</v>
      </c>
      <c r="P193">
        <v>55.2</v>
      </c>
      <c r="Q193">
        <v>56.2</v>
      </c>
      <c r="R193">
        <v>2153.8000000000002</v>
      </c>
    </row>
    <row r="194" spans="13:18" x14ac:dyDescent="0.25">
      <c r="M194">
        <v>91.9</v>
      </c>
      <c r="N194">
        <v>105.1</v>
      </c>
      <c r="O194">
        <v>101.7</v>
      </c>
      <c r="P194">
        <v>115.7</v>
      </c>
      <c r="Q194">
        <v>101.3</v>
      </c>
      <c r="R194">
        <v>3264</v>
      </c>
    </row>
    <row r="195" spans="13:18" x14ac:dyDescent="0.25">
      <c r="M195">
        <v>51.4</v>
      </c>
      <c r="N195">
        <v>74.8</v>
      </c>
      <c r="O195">
        <v>81.400000000000006</v>
      </c>
      <c r="P195">
        <v>56.5</v>
      </c>
      <c r="Q195">
        <v>125.5</v>
      </c>
      <c r="R195">
        <v>2631.2</v>
      </c>
    </row>
    <row r="196" spans="13:18" x14ac:dyDescent="0.25">
      <c r="M196">
        <v>138.19999999999999</v>
      </c>
      <c r="N196">
        <v>124.9</v>
      </c>
      <c r="O196">
        <v>103</v>
      </c>
      <c r="P196">
        <v>137.30000000000001</v>
      </c>
      <c r="Q196">
        <v>82</v>
      </c>
      <c r="R196">
        <v>3369.3</v>
      </c>
    </row>
    <row r="197" spans="13:18" x14ac:dyDescent="0.25">
      <c r="M197">
        <v>57.1</v>
      </c>
      <c r="N197">
        <v>138</v>
      </c>
      <c r="O197">
        <v>60.9</v>
      </c>
      <c r="P197">
        <v>72.7</v>
      </c>
      <c r="Q197">
        <v>77.8</v>
      </c>
      <c r="R197">
        <v>2374.1999999999998</v>
      </c>
    </row>
    <row r="198" spans="13:18" x14ac:dyDescent="0.25">
      <c r="M198">
        <v>60.1</v>
      </c>
      <c r="N198">
        <v>84.5</v>
      </c>
      <c r="O198">
        <v>103.7</v>
      </c>
      <c r="P198">
        <v>125.9</v>
      </c>
      <c r="Q198">
        <v>119.6</v>
      </c>
      <c r="R198">
        <v>3474.7</v>
      </c>
    </row>
    <row r="199" spans="13:18" x14ac:dyDescent="0.25">
      <c r="M199">
        <v>60.2</v>
      </c>
      <c r="N199">
        <v>144.6</v>
      </c>
      <c r="O199">
        <v>129.4</v>
      </c>
      <c r="P199">
        <v>68.400000000000006</v>
      </c>
      <c r="Q199">
        <v>54.3</v>
      </c>
      <c r="R199">
        <v>2764.5</v>
      </c>
    </row>
    <row r="200" spans="13:18" x14ac:dyDescent="0.25">
      <c r="M200">
        <v>91.8</v>
      </c>
      <c r="N200">
        <v>55.3</v>
      </c>
      <c r="O200">
        <v>109.7</v>
      </c>
      <c r="P200">
        <v>97.2</v>
      </c>
      <c r="Q200">
        <v>118.3</v>
      </c>
      <c r="R200">
        <v>3161.8</v>
      </c>
    </row>
    <row r="201" spans="13:18" x14ac:dyDescent="0.25">
      <c r="M201">
        <v>59.8</v>
      </c>
      <c r="N201">
        <v>148.5</v>
      </c>
      <c r="O201">
        <v>133.1</v>
      </c>
      <c r="P201">
        <v>123.4</v>
      </c>
      <c r="Q201">
        <v>137.9</v>
      </c>
      <c r="R201">
        <v>4036.3</v>
      </c>
    </row>
    <row r="202" spans="13:18" x14ac:dyDescent="0.25">
      <c r="M202">
        <v>141.19999999999999</v>
      </c>
      <c r="N202">
        <v>70.7</v>
      </c>
      <c r="O202">
        <v>83.2</v>
      </c>
      <c r="P202">
        <v>74.099999999999994</v>
      </c>
      <c r="Q202">
        <v>146.1</v>
      </c>
      <c r="R202">
        <v>2973.2</v>
      </c>
    </row>
    <row r="203" spans="13:18" x14ac:dyDescent="0.25">
      <c r="M203">
        <v>132.30000000000001</v>
      </c>
      <c r="N203">
        <v>100.3</v>
      </c>
      <c r="O203">
        <v>91.4</v>
      </c>
      <c r="P203">
        <v>72.599999999999994</v>
      </c>
      <c r="Q203">
        <v>104.6</v>
      </c>
      <c r="R203">
        <v>2769.3</v>
      </c>
    </row>
    <row r="204" spans="13:18" x14ac:dyDescent="0.25">
      <c r="M204">
        <v>53.9</v>
      </c>
      <c r="N204">
        <v>102.3</v>
      </c>
      <c r="O204">
        <v>132</v>
      </c>
      <c r="P204">
        <v>88.1</v>
      </c>
      <c r="Q204">
        <v>149.6</v>
      </c>
      <c r="R204">
        <v>3668.2</v>
      </c>
    </row>
    <row r="205" spans="13:18" x14ac:dyDescent="0.25">
      <c r="M205">
        <v>58.3</v>
      </c>
      <c r="N205">
        <v>86.9</v>
      </c>
      <c r="O205">
        <v>147.6</v>
      </c>
      <c r="P205">
        <v>69.7</v>
      </c>
      <c r="Q205">
        <v>99.7</v>
      </c>
      <c r="R205">
        <v>3153.9</v>
      </c>
    </row>
    <row r="206" spans="13:18" x14ac:dyDescent="0.25">
      <c r="M206">
        <v>101.8</v>
      </c>
      <c r="N206">
        <v>61.9</v>
      </c>
      <c r="O206">
        <v>123.1</v>
      </c>
      <c r="P206">
        <v>106.1</v>
      </c>
      <c r="Q206">
        <v>92.4</v>
      </c>
      <c r="R206">
        <v>3165.3</v>
      </c>
    </row>
    <row r="207" spans="13:18" x14ac:dyDescent="0.25">
      <c r="M207">
        <v>73.7</v>
      </c>
      <c r="N207">
        <v>95.1</v>
      </c>
      <c r="O207">
        <v>146.1</v>
      </c>
      <c r="P207">
        <v>76.2</v>
      </c>
      <c r="Q207">
        <v>139.9</v>
      </c>
      <c r="R207">
        <v>3579.3</v>
      </c>
    </row>
    <row r="208" spans="13:18" x14ac:dyDescent="0.25">
      <c r="M208">
        <v>97.8</v>
      </c>
      <c r="N208">
        <v>127.4</v>
      </c>
      <c r="O208">
        <v>122.2</v>
      </c>
      <c r="P208">
        <v>81.599999999999994</v>
      </c>
      <c r="Q208">
        <v>119.7</v>
      </c>
      <c r="R208">
        <v>3329.6</v>
      </c>
    </row>
    <row r="209" spans="13:18" x14ac:dyDescent="0.25">
      <c r="M209">
        <v>146.69999999999999</v>
      </c>
      <c r="N209">
        <v>101</v>
      </c>
      <c r="O209">
        <v>133.6</v>
      </c>
      <c r="P209">
        <v>75.7</v>
      </c>
      <c r="Q209">
        <v>139.9</v>
      </c>
      <c r="R209">
        <v>3479.1</v>
      </c>
    </row>
    <row r="210" spans="13:18" x14ac:dyDescent="0.25">
      <c r="M210">
        <v>134.69999999999999</v>
      </c>
      <c r="N210">
        <v>95.2</v>
      </c>
      <c r="O210">
        <v>57.7</v>
      </c>
      <c r="P210">
        <v>131.69999999999999</v>
      </c>
      <c r="Q210">
        <v>146.9</v>
      </c>
      <c r="R210">
        <v>3371.4</v>
      </c>
    </row>
    <row r="211" spans="13:18" x14ac:dyDescent="0.25">
      <c r="M211">
        <v>79.3</v>
      </c>
      <c r="N211">
        <v>83.8</v>
      </c>
      <c r="O211">
        <v>86.1</v>
      </c>
      <c r="P211">
        <v>112.9</v>
      </c>
      <c r="Q211">
        <v>63.3</v>
      </c>
      <c r="R211">
        <v>2719.4</v>
      </c>
    </row>
    <row r="212" spans="13:18" x14ac:dyDescent="0.25">
      <c r="M212">
        <v>148.80000000000001</v>
      </c>
      <c r="N212">
        <v>56</v>
      </c>
      <c r="O212">
        <v>109.5</v>
      </c>
      <c r="P212">
        <v>138.30000000000001</v>
      </c>
      <c r="Q212">
        <v>73.900000000000006</v>
      </c>
      <c r="R212">
        <v>3181.6</v>
      </c>
    </row>
    <row r="213" spans="13:18" x14ac:dyDescent="0.25">
      <c r="M213">
        <v>133.5</v>
      </c>
      <c r="N213">
        <v>65</v>
      </c>
      <c r="O213">
        <v>59.7</v>
      </c>
      <c r="P213">
        <v>57.3</v>
      </c>
      <c r="Q213">
        <v>99.7</v>
      </c>
      <c r="R213">
        <v>2212.8000000000002</v>
      </c>
    </row>
    <row r="214" spans="13:18" x14ac:dyDescent="0.25">
      <c r="M214">
        <v>109.5</v>
      </c>
      <c r="N214">
        <v>96.8</v>
      </c>
      <c r="O214">
        <v>123.1</v>
      </c>
      <c r="P214">
        <v>74.8</v>
      </c>
      <c r="Q214">
        <v>124.4</v>
      </c>
      <c r="R214">
        <v>3231.7</v>
      </c>
    </row>
    <row r="215" spans="13:18" x14ac:dyDescent="0.25">
      <c r="M215">
        <v>83.2</v>
      </c>
      <c r="N215">
        <v>72.599999999999994</v>
      </c>
      <c r="O215">
        <v>68</v>
      </c>
      <c r="P215">
        <v>92.8</v>
      </c>
      <c r="Q215">
        <v>66.3</v>
      </c>
      <c r="R215">
        <v>2351.8000000000002</v>
      </c>
    </row>
    <row r="216" spans="13:18" x14ac:dyDescent="0.25">
      <c r="M216">
        <v>133.30000000000001</v>
      </c>
      <c r="N216">
        <v>127.5</v>
      </c>
      <c r="O216">
        <v>149.19999999999999</v>
      </c>
      <c r="P216">
        <v>57.8</v>
      </c>
      <c r="Q216">
        <v>109.3</v>
      </c>
      <c r="R216">
        <v>3260.3</v>
      </c>
    </row>
    <row r="217" spans="13:18" x14ac:dyDescent="0.25">
      <c r="M217">
        <v>90.8</v>
      </c>
      <c r="N217">
        <v>129.80000000000001</v>
      </c>
      <c r="O217">
        <v>83.1</v>
      </c>
      <c r="P217">
        <v>131.4</v>
      </c>
      <c r="Q217">
        <v>134.30000000000001</v>
      </c>
      <c r="R217">
        <v>3574.7</v>
      </c>
    </row>
    <row r="218" spans="13:18" x14ac:dyDescent="0.25">
      <c r="M218">
        <v>122.5</v>
      </c>
      <c r="N218">
        <v>132.1</v>
      </c>
      <c r="O218">
        <v>106.9</v>
      </c>
      <c r="P218">
        <v>123.3</v>
      </c>
      <c r="Q218">
        <v>116.5</v>
      </c>
      <c r="R218">
        <v>3577.3</v>
      </c>
    </row>
    <row r="219" spans="13:18" x14ac:dyDescent="0.25">
      <c r="M219">
        <v>108.5</v>
      </c>
      <c r="N219">
        <v>69.5</v>
      </c>
      <c r="O219">
        <v>62.6</v>
      </c>
      <c r="P219">
        <v>52.6</v>
      </c>
      <c r="Q219">
        <v>80.099999999999994</v>
      </c>
      <c r="R219">
        <v>2039.6</v>
      </c>
    </row>
    <row r="220" spans="13:18" x14ac:dyDescent="0.25">
      <c r="M220">
        <v>129.6</v>
      </c>
      <c r="N220">
        <v>145.6</v>
      </c>
      <c r="O220">
        <v>73.400000000000006</v>
      </c>
      <c r="P220">
        <v>128.80000000000001</v>
      </c>
      <c r="Q220">
        <v>124.3</v>
      </c>
      <c r="R220">
        <v>3433.7</v>
      </c>
    </row>
    <row r="221" spans="13:18" x14ac:dyDescent="0.25">
      <c r="M221">
        <v>105.1</v>
      </c>
      <c r="N221">
        <v>72.8</v>
      </c>
      <c r="O221">
        <v>100.6</v>
      </c>
      <c r="P221">
        <v>67.099999999999994</v>
      </c>
      <c r="Q221">
        <v>62.7</v>
      </c>
      <c r="R221">
        <v>2374.1999999999998</v>
      </c>
    </row>
    <row r="222" spans="13:18" x14ac:dyDescent="0.25">
      <c r="M222">
        <v>146.30000000000001</v>
      </c>
      <c r="N222">
        <v>55.4</v>
      </c>
      <c r="O222">
        <v>98</v>
      </c>
      <c r="P222">
        <v>79.3</v>
      </c>
      <c r="Q222">
        <v>141.1</v>
      </c>
      <c r="R222">
        <v>3079.4</v>
      </c>
    </row>
    <row r="223" spans="13:18" x14ac:dyDescent="0.25">
      <c r="M223">
        <v>117.3</v>
      </c>
      <c r="N223">
        <v>133.69999999999999</v>
      </c>
      <c r="O223">
        <v>104.7</v>
      </c>
      <c r="P223">
        <v>105.9</v>
      </c>
      <c r="Q223">
        <v>124.5</v>
      </c>
      <c r="R223">
        <v>3461.6</v>
      </c>
    </row>
    <row r="224" spans="13:18" x14ac:dyDescent="0.25">
      <c r="M224">
        <v>117.4</v>
      </c>
      <c r="N224">
        <v>127.9</v>
      </c>
      <c r="O224">
        <v>140.9</v>
      </c>
      <c r="P224">
        <v>79.2</v>
      </c>
      <c r="Q224">
        <v>69</v>
      </c>
      <c r="R224">
        <v>3052.1</v>
      </c>
    </row>
    <row r="225" spans="13:18" x14ac:dyDescent="0.25">
      <c r="M225">
        <v>126.7</v>
      </c>
      <c r="N225">
        <v>147.80000000000001</v>
      </c>
      <c r="O225">
        <v>97.6</v>
      </c>
      <c r="P225">
        <v>134.6</v>
      </c>
      <c r="Q225">
        <v>118.3</v>
      </c>
      <c r="R225">
        <v>3656.8</v>
      </c>
    </row>
    <row r="226" spans="13:18" x14ac:dyDescent="0.25">
      <c r="M226">
        <v>80.2</v>
      </c>
      <c r="N226">
        <v>60</v>
      </c>
      <c r="O226">
        <v>137.30000000000001</v>
      </c>
      <c r="P226">
        <v>108.8</v>
      </c>
      <c r="Q226">
        <v>92.9</v>
      </c>
      <c r="R226">
        <v>3314</v>
      </c>
    </row>
    <row r="227" spans="13:18" x14ac:dyDescent="0.25">
      <c r="M227">
        <v>60.9</v>
      </c>
      <c r="N227">
        <v>126.4</v>
      </c>
      <c r="O227">
        <v>143.30000000000001</v>
      </c>
      <c r="P227">
        <v>92.3</v>
      </c>
      <c r="Q227">
        <v>58.7</v>
      </c>
      <c r="R227">
        <v>3101.5</v>
      </c>
    </row>
    <row r="228" spans="13:18" x14ac:dyDescent="0.25">
      <c r="M228">
        <v>128.1</v>
      </c>
      <c r="N228">
        <v>56</v>
      </c>
      <c r="O228">
        <v>86.7</v>
      </c>
      <c r="P228">
        <v>125.8</v>
      </c>
      <c r="Q228">
        <v>94.8</v>
      </c>
      <c r="R228">
        <v>3031.4</v>
      </c>
    </row>
    <row r="229" spans="13:18" x14ac:dyDescent="0.25">
      <c r="M229">
        <v>120.3</v>
      </c>
      <c r="N229">
        <v>135.5</v>
      </c>
      <c r="O229">
        <v>98.9</v>
      </c>
      <c r="P229">
        <v>55.8</v>
      </c>
      <c r="Q229">
        <v>98.4</v>
      </c>
      <c r="R229">
        <v>2719.3</v>
      </c>
    </row>
    <row r="230" spans="13:18" x14ac:dyDescent="0.25">
      <c r="M230">
        <v>100</v>
      </c>
      <c r="N230">
        <v>128.6</v>
      </c>
      <c r="O230">
        <v>66.8</v>
      </c>
      <c r="P230">
        <v>91.9</v>
      </c>
      <c r="Q230">
        <v>92.9</v>
      </c>
      <c r="R230">
        <v>2715.8</v>
      </c>
    </row>
    <row r="231" spans="13:18" x14ac:dyDescent="0.25">
      <c r="M231">
        <v>129.5</v>
      </c>
      <c r="N231">
        <v>60.1</v>
      </c>
      <c r="O231">
        <v>91.2</v>
      </c>
      <c r="P231">
        <v>128.5</v>
      </c>
      <c r="Q231">
        <v>130.6</v>
      </c>
      <c r="R231">
        <v>3401.7</v>
      </c>
    </row>
    <row r="232" spans="13:18" x14ac:dyDescent="0.25">
      <c r="M232">
        <v>94.4</v>
      </c>
      <c r="N232">
        <v>125.7</v>
      </c>
      <c r="O232">
        <v>72.7</v>
      </c>
      <c r="P232">
        <v>124.4</v>
      </c>
      <c r="Q232">
        <v>105.1</v>
      </c>
      <c r="R232">
        <v>3174.2</v>
      </c>
    </row>
    <row r="233" spans="13:18" x14ac:dyDescent="0.25">
      <c r="M233">
        <v>114.3</v>
      </c>
      <c r="N233">
        <v>92.9</v>
      </c>
      <c r="O233">
        <v>118.1</v>
      </c>
      <c r="P233">
        <v>54.4</v>
      </c>
      <c r="Q233">
        <v>114.4</v>
      </c>
      <c r="R233">
        <v>2893.8</v>
      </c>
    </row>
    <row r="234" spans="13:18" x14ac:dyDescent="0.25">
      <c r="M234">
        <v>108.1</v>
      </c>
      <c r="N234">
        <v>82.5</v>
      </c>
      <c r="O234">
        <v>80.5</v>
      </c>
      <c r="P234">
        <v>72.8</v>
      </c>
      <c r="Q234">
        <v>138.9</v>
      </c>
      <c r="R234">
        <v>2914.3</v>
      </c>
    </row>
    <row r="235" spans="13:18" x14ac:dyDescent="0.25">
      <c r="M235">
        <v>102.5</v>
      </c>
      <c r="N235">
        <v>148.80000000000001</v>
      </c>
      <c r="O235">
        <v>75.400000000000006</v>
      </c>
      <c r="P235">
        <v>57.3</v>
      </c>
      <c r="Q235">
        <v>127.4</v>
      </c>
      <c r="R235">
        <v>2803.2</v>
      </c>
    </row>
    <row r="236" spans="13:18" x14ac:dyDescent="0.25">
      <c r="M236">
        <v>100.7</v>
      </c>
      <c r="N236">
        <v>96.9</v>
      </c>
      <c r="O236">
        <v>137.19999999999999</v>
      </c>
      <c r="P236">
        <v>120.2</v>
      </c>
      <c r="Q236">
        <v>104.6</v>
      </c>
      <c r="R236">
        <v>3617.6</v>
      </c>
    </row>
    <row r="237" spans="13:18" x14ac:dyDescent="0.25">
      <c r="M237">
        <v>51.3</v>
      </c>
      <c r="N237">
        <v>103.6</v>
      </c>
      <c r="O237">
        <v>108.1</v>
      </c>
      <c r="P237">
        <v>105.2</v>
      </c>
      <c r="Q237">
        <v>141.6</v>
      </c>
      <c r="R237">
        <v>3544.1</v>
      </c>
    </row>
    <row r="238" spans="13:18" x14ac:dyDescent="0.25">
      <c r="M238">
        <v>83.5</v>
      </c>
      <c r="N238">
        <v>132.30000000000001</v>
      </c>
      <c r="O238">
        <v>73.7</v>
      </c>
      <c r="P238">
        <v>109.8</v>
      </c>
      <c r="Q238">
        <v>55.1</v>
      </c>
      <c r="R238">
        <v>2633.5</v>
      </c>
    </row>
    <row r="239" spans="13:18" x14ac:dyDescent="0.25">
      <c r="M239">
        <v>98.3</v>
      </c>
      <c r="N239">
        <v>58.3</v>
      </c>
      <c r="O239">
        <v>87</v>
      </c>
      <c r="P239">
        <v>98.5</v>
      </c>
      <c r="Q239">
        <v>125.4</v>
      </c>
      <c r="R239">
        <v>3034.8</v>
      </c>
    </row>
    <row r="240" spans="13:18" x14ac:dyDescent="0.25">
      <c r="M240">
        <v>133.19999999999999</v>
      </c>
      <c r="N240">
        <v>143.4</v>
      </c>
      <c r="O240">
        <v>145</v>
      </c>
      <c r="P240">
        <v>97</v>
      </c>
      <c r="Q240">
        <v>149.5</v>
      </c>
      <c r="R240">
        <v>3970.6</v>
      </c>
    </row>
    <row r="241" spans="13:18" x14ac:dyDescent="0.25">
      <c r="M241">
        <v>138.19999999999999</v>
      </c>
      <c r="N241">
        <v>127.9</v>
      </c>
      <c r="O241">
        <v>110.6</v>
      </c>
      <c r="P241">
        <v>84.9</v>
      </c>
      <c r="Q241">
        <v>69.7</v>
      </c>
      <c r="R241">
        <v>2838.5</v>
      </c>
    </row>
    <row r="242" spans="13:18" x14ac:dyDescent="0.25">
      <c r="M242">
        <v>131.6</v>
      </c>
      <c r="N242">
        <v>127.9</v>
      </c>
      <c r="O242">
        <v>93.4</v>
      </c>
      <c r="P242">
        <v>125.2</v>
      </c>
      <c r="Q242">
        <v>142.4</v>
      </c>
      <c r="R242">
        <v>3688.5</v>
      </c>
    </row>
    <row r="243" spans="13:18" x14ac:dyDescent="0.25">
      <c r="M243">
        <v>124.4</v>
      </c>
      <c r="N243">
        <v>55.7</v>
      </c>
      <c r="O243">
        <v>131.19999999999999</v>
      </c>
      <c r="P243">
        <v>98</v>
      </c>
      <c r="Q243">
        <v>139.80000000000001</v>
      </c>
      <c r="R243">
        <v>3537</v>
      </c>
    </row>
    <row r="244" spans="13:18" x14ac:dyDescent="0.25">
      <c r="M244">
        <v>129.30000000000001</v>
      </c>
      <c r="N244">
        <v>103.1</v>
      </c>
      <c r="O244">
        <v>137.80000000000001</v>
      </c>
      <c r="P244">
        <v>128</v>
      </c>
      <c r="Q244">
        <v>97.8</v>
      </c>
      <c r="R244">
        <v>3669.6</v>
      </c>
    </row>
    <row r="245" spans="13:18" x14ac:dyDescent="0.25">
      <c r="M245">
        <v>95.6</v>
      </c>
      <c r="N245">
        <v>52.5</v>
      </c>
      <c r="O245">
        <v>106.7</v>
      </c>
      <c r="P245">
        <v>121.7</v>
      </c>
      <c r="Q245">
        <v>52.1</v>
      </c>
      <c r="R245">
        <v>2797.6</v>
      </c>
    </row>
    <row r="246" spans="13:18" x14ac:dyDescent="0.25">
      <c r="M246">
        <v>134.6</v>
      </c>
      <c r="N246">
        <v>107.8</v>
      </c>
      <c r="O246">
        <v>87.9</v>
      </c>
      <c r="P246">
        <v>55.3</v>
      </c>
      <c r="Q246">
        <v>128.19999999999999</v>
      </c>
      <c r="R246">
        <v>2796.2</v>
      </c>
    </row>
    <row r="247" spans="13:18" x14ac:dyDescent="0.25">
      <c r="M247">
        <v>127.2</v>
      </c>
      <c r="N247">
        <v>60</v>
      </c>
      <c r="O247">
        <v>77.099999999999994</v>
      </c>
      <c r="P247">
        <v>78.7</v>
      </c>
      <c r="Q247">
        <v>75.099999999999994</v>
      </c>
      <c r="R247">
        <v>2345.8000000000002</v>
      </c>
    </row>
    <row r="248" spans="13:18" x14ac:dyDescent="0.25">
      <c r="M248">
        <v>128.1</v>
      </c>
      <c r="N248">
        <v>128.1</v>
      </c>
      <c r="O248">
        <v>83.3</v>
      </c>
      <c r="P248">
        <v>125.3</v>
      </c>
      <c r="Q248">
        <v>58.8</v>
      </c>
      <c r="R248">
        <v>2893.9</v>
      </c>
    </row>
    <row r="249" spans="13:18" x14ac:dyDescent="0.25">
      <c r="M249">
        <v>108.3</v>
      </c>
      <c r="N249">
        <v>140.69999999999999</v>
      </c>
      <c r="O249">
        <v>66.2</v>
      </c>
      <c r="P249">
        <v>145.30000000000001</v>
      </c>
      <c r="Q249">
        <v>56.4</v>
      </c>
      <c r="R249">
        <v>2938</v>
      </c>
    </row>
    <row r="250" spans="13:18" x14ac:dyDescent="0.25">
      <c r="M250">
        <v>101.1</v>
      </c>
      <c r="N250">
        <v>149.80000000000001</v>
      </c>
      <c r="O250">
        <v>57.4</v>
      </c>
      <c r="P250">
        <v>100.7</v>
      </c>
      <c r="Q250">
        <v>116.4</v>
      </c>
      <c r="R250">
        <v>2973.8</v>
      </c>
    </row>
    <row r="251" spans="13:18" x14ac:dyDescent="0.25">
      <c r="M251">
        <v>142.5</v>
      </c>
      <c r="N251">
        <v>91.4</v>
      </c>
      <c r="O251">
        <v>107.9</v>
      </c>
      <c r="P251">
        <v>89.8</v>
      </c>
      <c r="Q251">
        <v>74.5</v>
      </c>
      <c r="R251">
        <v>2799.1</v>
      </c>
    </row>
    <row r="252" spans="13:18" x14ac:dyDescent="0.25">
      <c r="M252">
        <v>120.3</v>
      </c>
      <c r="N252">
        <v>134.4</v>
      </c>
      <c r="O252">
        <v>126.3</v>
      </c>
      <c r="P252">
        <v>90.2</v>
      </c>
      <c r="Q252">
        <v>143.5</v>
      </c>
      <c r="R252">
        <v>3667.6</v>
      </c>
    </row>
    <row r="253" spans="13:18" x14ac:dyDescent="0.25">
      <c r="M253">
        <v>75.2</v>
      </c>
      <c r="N253">
        <v>82.5</v>
      </c>
      <c r="O253">
        <v>98.2</v>
      </c>
      <c r="P253">
        <v>137</v>
      </c>
      <c r="Q253">
        <v>114.5</v>
      </c>
      <c r="R253">
        <v>3478.5</v>
      </c>
    </row>
    <row r="254" spans="13:18" x14ac:dyDescent="0.25">
      <c r="M254">
        <v>116.3</v>
      </c>
      <c r="N254">
        <v>120.8</v>
      </c>
      <c r="O254">
        <v>103.4</v>
      </c>
      <c r="P254">
        <v>75.7</v>
      </c>
      <c r="Q254">
        <v>137.5</v>
      </c>
      <c r="R254">
        <v>3246.7</v>
      </c>
    </row>
    <row r="255" spans="13:18" x14ac:dyDescent="0.25">
      <c r="M255">
        <v>144.80000000000001</v>
      </c>
      <c r="N255">
        <v>121.9</v>
      </c>
      <c r="O255">
        <v>71.099999999999994</v>
      </c>
      <c r="P255">
        <v>57.1</v>
      </c>
      <c r="Q255">
        <v>70.599999999999994</v>
      </c>
      <c r="R255">
        <v>2213.9</v>
      </c>
    </row>
    <row r="256" spans="13:18" x14ac:dyDescent="0.25">
      <c r="M256">
        <v>98.2</v>
      </c>
      <c r="N256">
        <v>52.1</v>
      </c>
      <c r="O256">
        <v>137.9</v>
      </c>
      <c r="P256">
        <v>63</v>
      </c>
      <c r="Q256">
        <v>114.5</v>
      </c>
      <c r="R256">
        <v>3041.3</v>
      </c>
    </row>
    <row r="257" spans="13:18" x14ac:dyDescent="0.25">
      <c r="M257">
        <v>59.2</v>
      </c>
      <c r="N257">
        <v>144.30000000000001</v>
      </c>
      <c r="O257">
        <v>100.8</v>
      </c>
      <c r="P257">
        <v>79.7</v>
      </c>
      <c r="Q257">
        <v>72</v>
      </c>
      <c r="R257">
        <v>2770.2</v>
      </c>
    </row>
    <row r="258" spans="13:18" x14ac:dyDescent="0.25">
      <c r="M258">
        <v>92</v>
      </c>
      <c r="N258">
        <v>126.8</v>
      </c>
      <c r="O258">
        <v>79.2</v>
      </c>
      <c r="P258">
        <v>59</v>
      </c>
      <c r="Q258">
        <v>98.6</v>
      </c>
      <c r="R258">
        <v>2547.6999999999998</v>
      </c>
    </row>
    <row r="259" spans="13:18" x14ac:dyDescent="0.25">
      <c r="M259">
        <v>97.8</v>
      </c>
      <c r="N259">
        <v>125</v>
      </c>
      <c r="O259">
        <v>127.9</v>
      </c>
      <c r="P259">
        <v>133</v>
      </c>
      <c r="Q259">
        <v>134.9</v>
      </c>
      <c r="R259">
        <v>3986.1</v>
      </c>
    </row>
    <row r="260" spans="13:18" x14ac:dyDescent="0.25">
      <c r="M260">
        <v>105.5</v>
      </c>
      <c r="N260">
        <v>75.5</v>
      </c>
      <c r="O260">
        <v>65.8</v>
      </c>
      <c r="P260">
        <v>73</v>
      </c>
      <c r="Q260">
        <v>135.9</v>
      </c>
      <c r="R260">
        <v>2738.5</v>
      </c>
    </row>
    <row r="261" spans="13:18" x14ac:dyDescent="0.25">
      <c r="M261">
        <v>137.5</v>
      </c>
      <c r="N261">
        <v>119.1</v>
      </c>
      <c r="O261">
        <v>111.2</v>
      </c>
      <c r="P261">
        <v>107.8</v>
      </c>
      <c r="Q261">
        <v>138.69999999999999</v>
      </c>
      <c r="R261">
        <v>3617.7</v>
      </c>
    </row>
    <row r="262" spans="13:18" x14ac:dyDescent="0.25">
      <c r="M262">
        <v>116.5</v>
      </c>
      <c r="N262">
        <v>62.6</v>
      </c>
      <c r="O262">
        <v>139.5</v>
      </c>
      <c r="P262">
        <v>143.19999999999999</v>
      </c>
      <c r="Q262">
        <v>133.4</v>
      </c>
      <c r="R262">
        <v>4010.8</v>
      </c>
    </row>
    <row r="263" spans="13:18" x14ac:dyDescent="0.25">
      <c r="M263">
        <v>104.4</v>
      </c>
      <c r="N263">
        <v>125.6</v>
      </c>
      <c r="O263">
        <v>103.8</v>
      </c>
      <c r="P263">
        <v>146.5</v>
      </c>
      <c r="Q263">
        <v>128</v>
      </c>
      <c r="R263">
        <v>3850.3</v>
      </c>
    </row>
    <row r="264" spans="13:18" x14ac:dyDescent="0.25">
      <c r="M264">
        <v>87.6</v>
      </c>
      <c r="N264">
        <v>112.7</v>
      </c>
      <c r="O264">
        <v>84.2</v>
      </c>
      <c r="P264">
        <v>88.5</v>
      </c>
      <c r="Q264">
        <v>123.4</v>
      </c>
      <c r="R264">
        <v>3046.1</v>
      </c>
    </row>
    <row r="265" spans="13:18" x14ac:dyDescent="0.25">
      <c r="M265">
        <v>50.9</v>
      </c>
      <c r="N265">
        <v>76.5</v>
      </c>
      <c r="O265">
        <v>55.5</v>
      </c>
      <c r="P265">
        <v>57.3</v>
      </c>
      <c r="Q265">
        <v>138.6</v>
      </c>
      <c r="R265">
        <v>2525.3000000000002</v>
      </c>
    </row>
    <row r="266" spans="13:18" x14ac:dyDescent="0.25">
      <c r="M266">
        <v>104.7</v>
      </c>
      <c r="N266">
        <v>62.3</v>
      </c>
      <c r="O266">
        <v>90.5</v>
      </c>
      <c r="P266">
        <v>85</v>
      </c>
      <c r="Q266">
        <v>52.1</v>
      </c>
      <c r="R266">
        <v>2332.1999999999998</v>
      </c>
    </row>
    <row r="267" spans="13:18" x14ac:dyDescent="0.25">
      <c r="M267">
        <v>56.4</v>
      </c>
      <c r="N267">
        <v>50.5</v>
      </c>
      <c r="O267">
        <v>138.4</v>
      </c>
      <c r="P267">
        <v>53.1</v>
      </c>
      <c r="Q267">
        <v>149.5</v>
      </c>
      <c r="R267">
        <v>3244.7</v>
      </c>
    </row>
    <row r="268" spans="13:18" x14ac:dyDescent="0.25">
      <c r="M268">
        <v>141.5</v>
      </c>
      <c r="N268">
        <v>136.1</v>
      </c>
      <c r="O268">
        <v>144</v>
      </c>
      <c r="P268">
        <v>67.2</v>
      </c>
      <c r="Q268">
        <v>94.1</v>
      </c>
      <c r="R268">
        <v>3199.4</v>
      </c>
    </row>
    <row r="269" spans="13:18" x14ac:dyDescent="0.25">
      <c r="M269">
        <v>54.7</v>
      </c>
      <c r="N269">
        <v>112.6</v>
      </c>
      <c r="O269">
        <v>99.1</v>
      </c>
      <c r="P269">
        <v>115.7</v>
      </c>
      <c r="Q269">
        <v>59.5</v>
      </c>
      <c r="R269">
        <v>2902.2</v>
      </c>
    </row>
    <row r="270" spans="13:18" x14ac:dyDescent="0.25">
      <c r="M270">
        <v>148.1</v>
      </c>
      <c r="N270">
        <v>149</v>
      </c>
      <c r="O270">
        <v>140.1</v>
      </c>
      <c r="P270">
        <v>55.1</v>
      </c>
      <c r="Q270">
        <v>91.4</v>
      </c>
      <c r="R270">
        <v>3059.3</v>
      </c>
    </row>
    <row r="271" spans="13:18" x14ac:dyDescent="0.25">
      <c r="M271">
        <v>84.8</v>
      </c>
      <c r="N271">
        <v>77.8</v>
      </c>
      <c r="O271">
        <v>135.1</v>
      </c>
      <c r="P271">
        <v>84.9</v>
      </c>
      <c r="Q271">
        <v>88.3</v>
      </c>
      <c r="R271">
        <v>3072.6</v>
      </c>
    </row>
    <row r="272" spans="13:18" x14ac:dyDescent="0.25">
      <c r="M272">
        <v>65.5</v>
      </c>
      <c r="N272">
        <v>132.1</v>
      </c>
      <c r="O272">
        <v>122.6</v>
      </c>
      <c r="P272">
        <v>105.4</v>
      </c>
      <c r="Q272">
        <v>117</v>
      </c>
      <c r="R272">
        <v>3548.2</v>
      </c>
    </row>
    <row r="273" spans="13:18" x14ac:dyDescent="0.25">
      <c r="M273">
        <v>68</v>
      </c>
      <c r="N273">
        <v>100.2</v>
      </c>
      <c r="O273">
        <v>96.3</v>
      </c>
      <c r="P273">
        <v>72.2</v>
      </c>
      <c r="Q273">
        <v>103.5</v>
      </c>
      <c r="R273">
        <v>2805.5</v>
      </c>
    </row>
    <row r="274" spans="13:18" x14ac:dyDescent="0.25">
      <c r="M274">
        <v>64.599999999999994</v>
      </c>
      <c r="N274">
        <v>84.9</v>
      </c>
      <c r="O274">
        <v>147.9</v>
      </c>
      <c r="P274">
        <v>88.3</v>
      </c>
      <c r="Q274">
        <v>64.599999999999994</v>
      </c>
      <c r="R274">
        <v>3048.1</v>
      </c>
    </row>
    <row r="275" spans="13:18" x14ac:dyDescent="0.25">
      <c r="M275">
        <v>109.4</v>
      </c>
      <c r="N275">
        <v>87.2</v>
      </c>
      <c r="O275">
        <v>111.6</v>
      </c>
      <c r="P275">
        <v>100.5</v>
      </c>
      <c r="Q275">
        <v>72</v>
      </c>
      <c r="R275">
        <v>2905.2</v>
      </c>
    </row>
    <row r="276" spans="13:18" x14ac:dyDescent="0.25">
      <c r="M276">
        <v>109.9</v>
      </c>
      <c r="N276">
        <v>51.2</v>
      </c>
      <c r="O276">
        <v>73.900000000000006</v>
      </c>
      <c r="P276">
        <v>88.9</v>
      </c>
      <c r="Q276">
        <v>62.3</v>
      </c>
      <c r="R276">
        <v>2272</v>
      </c>
    </row>
    <row r="277" spans="13:18" x14ac:dyDescent="0.25">
      <c r="M277">
        <v>124.1</v>
      </c>
      <c r="N277">
        <v>138.4</v>
      </c>
      <c r="O277">
        <v>140.5</v>
      </c>
      <c r="P277">
        <v>67.400000000000006</v>
      </c>
      <c r="Q277">
        <v>136.5</v>
      </c>
      <c r="R277">
        <v>3526.2</v>
      </c>
    </row>
    <row r="278" spans="13:18" x14ac:dyDescent="0.25">
      <c r="M278">
        <v>148.9</v>
      </c>
      <c r="N278">
        <v>121.1</v>
      </c>
      <c r="O278">
        <v>74.599999999999994</v>
      </c>
      <c r="P278">
        <v>133.6</v>
      </c>
      <c r="Q278">
        <v>111.7</v>
      </c>
      <c r="R278">
        <v>3322.5</v>
      </c>
    </row>
    <row r="279" spans="13:18" x14ac:dyDescent="0.25">
      <c r="M279">
        <v>89.3</v>
      </c>
      <c r="N279">
        <v>110</v>
      </c>
      <c r="O279">
        <v>149.6</v>
      </c>
      <c r="P279">
        <v>135.1</v>
      </c>
      <c r="Q279">
        <v>117.5</v>
      </c>
      <c r="R279">
        <v>4014.9</v>
      </c>
    </row>
    <row r="280" spans="13:18" x14ac:dyDescent="0.25">
      <c r="M280">
        <v>126.1</v>
      </c>
      <c r="N280">
        <v>57.7</v>
      </c>
      <c r="O280">
        <v>78.5</v>
      </c>
      <c r="P280">
        <v>142.19999999999999</v>
      </c>
      <c r="Q280">
        <v>52</v>
      </c>
      <c r="R280">
        <v>2754.6</v>
      </c>
    </row>
    <row r="281" spans="13:18" x14ac:dyDescent="0.25">
      <c r="M281">
        <v>120.3</v>
      </c>
      <c r="N281">
        <v>103.3</v>
      </c>
      <c r="O281">
        <v>114.2</v>
      </c>
      <c r="P281">
        <v>143.6</v>
      </c>
      <c r="Q281">
        <v>138.9</v>
      </c>
      <c r="R281">
        <v>3943</v>
      </c>
    </row>
    <row r="282" spans="13:18" x14ac:dyDescent="0.25">
      <c r="M282">
        <v>122</v>
      </c>
      <c r="N282">
        <v>148</v>
      </c>
      <c r="O282">
        <v>133</v>
      </c>
      <c r="P282">
        <v>103.9</v>
      </c>
      <c r="Q282">
        <v>149.1</v>
      </c>
      <c r="R282">
        <v>3943</v>
      </c>
    </row>
    <row r="283" spans="13:18" x14ac:dyDescent="0.25">
      <c r="M283">
        <v>72.599999999999994</v>
      </c>
      <c r="N283">
        <v>79.099999999999994</v>
      </c>
      <c r="O283">
        <v>144.80000000000001</v>
      </c>
      <c r="P283">
        <v>50.5</v>
      </c>
      <c r="Q283">
        <v>80.7</v>
      </c>
      <c r="R283">
        <v>2780.2</v>
      </c>
    </row>
    <row r="284" spans="13:18" x14ac:dyDescent="0.25">
      <c r="M284">
        <v>117.3</v>
      </c>
      <c r="N284">
        <v>80.3</v>
      </c>
      <c r="O284">
        <v>93.4</v>
      </c>
      <c r="P284">
        <v>79.099999999999994</v>
      </c>
      <c r="Q284">
        <v>109.6</v>
      </c>
      <c r="R284">
        <v>2840.3</v>
      </c>
    </row>
    <row r="285" spans="13:18" x14ac:dyDescent="0.25">
      <c r="M285">
        <v>68</v>
      </c>
      <c r="N285">
        <v>97</v>
      </c>
      <c r="O285">
        <v>138.9</v>
      </c>
      <c r="P285">
        <v>94.5</v>
      </c>
      <c r="Q285">
        <v>54.7</v>
      </c>
      <c r="R285">
        <v>2978</v>
      </c>
    </row>
    <row r="286" spans="13:18" x14ac:dyDescent="0.25">
      <c r="M286">
        <v>81.8</v>
      </c>
      <c r="N286">
        <v>145</v>
      </c>
      <c r="O286">
        <v>137.1</v>
      </c>
      <c r="P286">
        <v>126.1</v>
      </c>
      <c r="Q286">
        <v>119.9</v>
      </c>
      <c r="R286">
        <v>3931.3</v>
      </c>
    </row>
    <row r="287" spans="13:18" x14ac:dyDescent="0.25">
      <c r="M287">
        <v>146.5</v>
      </c>
      <c r="N287">
        <v>78.900000000000006</v>
      </c>
      <c r="O287">
        <v>57.1</v>
      </c>
      <c r="P287">
        <v>85</v>
      </c>
      <c r="Q287">
        <v>106.6</v>
      </c>
      <c r="R287">
        <v>2547.9</v>
      </c>
    </row>
    <row r="288" spans="13:18" x14ac:dyDescent="0.25">
      <c r="M288">
        <v>88.4</v>
      </c>
      <c r="N288">
        <v>61.6</v>
      </c>
      <c r="O288">
        <v>102.3</v>
      </c>
      <c r="P288">
        <v>52.4</v>
      </c>
      <c r="Q288">
        <v>110.1</v>
      </c>
      <c r="R288">
        <v>2614.9</v>
      </c>
    </row>
    <row r="289" spans="13:18" x14ac:dyDescent="0.25">
      <c r="M289">
        <v>142.6</v>
      </c>
      <c r="N289">
        <v>98.6</v>
      </c>
      <c r="O289">
        <v>125.2</v>
      </c>
      <c r="P289">
        <v>115.5</v>
      </c>
      <c r="Q289">
        <v>142.19999999999999</v>
      </c>
      <c r="R289">
        <v>3790.7</v>
      </c>
    </row>
    <row r="290" spans="13:18" x14ac:dyDescent="0.25">
      <c r="M290">
        <v>52.4</v>
      </c>
      <c r="N290">
        <v>130.30000000000001</v>
      </c>
      <c r="O290">
        <v>52.5</v>
      </c>
      <c r="P290">
        <v>91.3</v>
      </c>
      <c r="Q290">
        <v>143.5</v>
      </c>
      <c r="R290">
        <v>3011.9</v>
      </c>
    </row>
    <row r="291" spans="13:18" x14ac:dyDescent="0.25">
      <c r="M291">
        <v>87.2</v>
      </c>
      <c r="N291">
        <v>95.5</v>
      </c>
      <c r="O291">
        <v>60.3</v>
      </c>
      <c r="P291">
        <v>103.5</v>
      </c>
      <c r="Q291">
        <v>79.2</v>
      </c>
      <c r="R291">
        <v>2568.6999999999998</v>
      </c>
    </row>
    <row r="292" spans="13:18" x14ac:dyDescent="0.25">
      <c r="M292">
        <v>95.5</v>
      </c>
      <c r="N292">
        <v>108.3</v>
      </c>
      <c r="O292">
        <v>65.3</v>
      </c>
      <c r="P292">
        <v>103.8</v>
      </c>
      <c r="Q292">
        <v>130.19999999999999</v>
      </c>
      <c r="R292">
        <v>3067.4</v>
      </c>
    </row>
    <row r="293" spans="13:18" x14ac:dyDescent="0.25">
      <c r="M293">
        <v>133.6</v>
      </c>
      <c r="N293">
        <v>113.7</v>
      </c>
      <c r="O293">
        <v>122.8</v>
      </c>
      <c r="P293">
        <v>53.6</v>
      </c>
      <c r="Q293">
        <v>123.6</v>
      </c>
      <c r="R293">
        <v>3059.3</v>
      </c>
    </row>
    <row r="294" spans="13:18" x14ac:dyDescent="0.25">
      <c r="M294">
        <v>134.69999999999999</v>
      </c>
      <c r="N294">
        <v>111.5</v>
      </c>
      <c r="O294">
        <v>146.6</v>
      </c>
      <c r="P294">
        <v>104.7</v>
      </c>
      <c r="Q294">
        <v>66.2</v>
      </c>
      <c r="R294">
        <v>3270.5</v>
      </c>
    </row>
    <row r="295" spans="13:18" x14ac:dyDescent="0.25">
      <c r="M295">
        <v>109.9</v>
      </c>
      <c r="N295">
        <v>66.3</v>
      </c>
      <c r="O295">
        <v>92.4</v>
      </c>
      <c r="P295">
        <v>147.5</v>
      </c>
      <c r="Q295">
        <v>71.599999999999994</v>
      </c>
      <c r="R295">
        <v>3118.7</v>
      </c>
    </row>
    <row r="296" spans="13:18" x14ac:dyDescent="0.25">
      <c r="M296">
        <v>96.6</v>
      </c>
      <c r="N296">
        <v>141.19999999999999</v>
      </c>
      <c r="O296">
        <v>69.3</v>
      </c>
      <c r="P296">
        <v>114.4</v>
      </c>
      <c r="Q296">
        <v>97.9</v>
      </c>
      <c r="R296">
        <v>3025.1</v>
      </c>
    </row>
    <row r="297" spans="13:18" x14ac:dyDescent="0.25">
      <c r="M297">
        <v>94.7</v>
      </c>
      <c r="N297">
        <v>124.2</v>
      </c>
      <c r="O297">
        <v>70.3</v>
      </c>
      <c r="P297">
        <v>57.2</v>
      </c>
      <c r="Q297">
        <v>135.5</v>
      </c>
      <c r="R297">
        <v>2757.2</v>
      </c>
    </row>
    <row r="298" spans="13:18" x14ac:dyDescent="0.25">
      <c r="M298">
        <v>56.1</v>
      </c>
      <c r="N298">
        <v>135.19999999999999</v>
      </c>
      <c r="O298">
        <v>138</v>
      </c>
      <c r="P298">
        <v>135.5</v>
      </c>
      <c r="Q298">
        <v>110.7</v>
      </c>
      <c r="R298">
        <v>3927.1</v>
      </c>
    </row>
    <row r="299" spans="13:18" x14ac:dyDescent="0.25">
      <c r="M299">
        <v>119.1</v>
      </c>
      <c r="N299">
        <v>130.4</v>
      </c>
      <c r="O299">
        <v>105.4</v>
      </c>
      <c r="P299">
        <v>84.9</v>
      </c>
      <c r="Q299">
        <v>96</v>
      </c>
      <c r="R299">
        <v>3023.3</v>
      </c>
    </row>
    <row r="300" spans="13:18" x14ac:dyDescent="0.25">
      <c r="M300">
        <v>101</v>
      </c>
      <c r="N300">
        <v>145</v>
      </c>
      <c r="O300">
        <v>77.599999999999994</v>
      </c>
      <c r="P300">
        <v>54.1</v>
      </c>
      <c r="Q300">
        <v>143.1</v>
      </c>
      <c r="R300">
        <v>2916.5</v>
      </c>
    </row>
    <row r="301" spans="13:18" x14ac:dyDescent="0.25">
      <c r="M301">
        <v>93.3</v>
      </c>
      <c r="N301">
        <v>138.9</v>
      </c>
      <c r="O301">
        <v>145.69999999999999</v>
      </c>
      <c r="P301">
        <v>126.4</v>
      </c>
      <c r="Q301">
        <v>78.2</v>
      </c>
      <c r="R301">
        <v>3641.5</v>
      </c>
    </row>
    <row r="302" spans="13:18" x14ac:dyDescent="0.25">
      <c r="M302">
        <v>120.6</v>
      </c>
      <c r="N302">
        <v>136.9</v>
      </c>
      <c r="O302">
        <v>147.30000000000001</v>
      </c>
      <c r="P302">
        <v>66.8</v>
      </c>
      <c r="Q302">
        <v>126.2</v>
      </c>
      <c r="R302">
        <v>3488</v>
      </c>
    </row>
    <row r="303" spans="13:18" x14ac:dyDescent="0.25">
      <c r="M303">
        <v>58</v>
      </c>
      <c r="N303">
        <v>78.599999999999994</v>
      </c>
      <c r="O303">
        <v>115.3</v>
      </c>
      <c r="P303">
        <v>60.5</v>
      </c>
      <c r="Q303">
        <v>53.6</v>
      </c>
      <c r="R303">
        <v>2388.9</v>
      </c>
    </row>
    <row r="304" spans="13:18" x14ac:dyDescent="0.25">
      <c r="M304">
        <v>119.8</v>
      </c>
      <c r="N304">
        <v>118.6</v>
      </c>
      <c r="O304">
        <v>80</v>
      </c>
      <c r="P304">
        <v>131.9</v>
      </c>
      <c r="Q304">
        <v>147</v>
      </c>
      <c r="R304">
        <v>3641.2</v>
      </c>
    </row>
    <row r="305" spans="13:18" x14ac:dyDescent="0.25">
      <c r="M305">
        <v>61.2</v>
      </c>
      <c r="N305">
        <v>142.80000000000001</v>
      </c>
      <c r="O305">
        <v>115.6</v>
      </c>
      <c r="P305">
        <v>62.8</v>
      </c>
      <c r="Q305">
        <v>66.2</v>
      </c>
      <c r="R305">
        <v>2681.8</v>
      </c>
    </row>
    <row r="306" spans="13:18" x14ac:dyDescent="0.25">
      <c r="M306">
        <v>58.6</v>
      </c>
      <c r="N306">
        <v>91.2</v>
      </c>
      <c r="O306">
        <v>146.19999999999999</v>
      </c>
      <c r="P306">
        <v>146.1</v>
      </c>
      <c r="Q306">
        <v>138.5</v>
      </c>
      <c r="R306">
        <v>4214.3999999999996</v>
      </c>
    </row>
    <row r="307" spans="13:18" x14ac:dyDescent="0.25">
      <c r="M307">
        <v>59.3</v>
      </c>
      <c r="N307">
        <v>103</v>
      </c>
      <c r="O307">
        <v>52.2</v>
      </c>
      <c r="P307">
        <v>145.19999999999999</v>
      </c>
      <c r="Q307">
        <v>84.7</v>
      </c>
      <c r="R307">
        <v>2947.2</v>
      </c>
    </row>
    <row r="308" spans="13:18" x14ac:dyDescent="0.25">
      <c r="M308">
        <v>115.6</v>
      </c>
      <c r="N308">
        <v>125.1</v>
      </c>
      <c r="O308">
        <v>143</v>
      </c>
      <c r="P308">
        <v>146</v>
      </c>
      <c r="Q308">
        <v>92.6</v>
      </c>
      <c r="R308">
        <v>3896.6</v>
      </c>
    </row>
    <row r="309" spans="13:18" x14ac:dyDescent="0.25">
      <c r="M309">
        <v>144.19999999999999</v>
      </c>
      <c r="N309">
        <v>147.9</v>
      </c>
      <c r="O309">
        <v>86.1</v>
      </c>
      <c r="P309">
        <v>119.5</v>
      </c>
      <c r="Q309">
        <v>78.2</v>
      </c>
      <c r="R309">
        <v>3077.5</v>
      </c>
    </row>
    <row r="310" spans="13:18" x14ac:dyDescent="0.25">
      <c r="M310">
        <v>77.3</v>
      </c>
      <c r="N310">
        <v>61.9</v>
      </c>
      <c r="O310">
        <v>108.3</v>
      </c>
      <c r="P310">
        <v>134.69999999999999</v>
      </c>
      <c r="Q310">
        <v>100</v>
      </c>
      <c r="R310">
        <v>3367.9</v>
      </c>
    </row>
    <row r="311" spans="13:18" x14ac:dyDescent="0.25">
      <c r="M311">
        <v>94.4</v>
      </c>
      <c r="N311">
        <v>147.6</v>
      </c>
      <c r="O311">
        <v>110.4</v>
      </c>
      <c r="P311">
        <v>86.8</v>
      </c>
      <c r="Q311">
        <v>118.5</v>
      </c>
      <c r="R311">
        <v>3312.5</v>
      </c>
    </row>
    <row r="312" spans="13:18" x14ac:dyDescent="0.25">
      <c r="M312">
        <v>52.3</v>
      </c>
      <c r="N312">
        <v>141.30000000000001</v>
      </c>
      <c r="O312">
        <v>59.7</v>
      </c>
      <c r="P312">
        <v>133.4</v>
      </c>
      <c r="Q312">
        <v>114.1</v>
      </c>
      <c r="R312">
        <v>3252.8</v>
      </c>
    </row>
    <row r="313" spans="13:18" x14ac:dyDescent="0.25">
      <c r="M313">
        <v>52</v>
      </c>
      <c r="N313">
        <v>142.4</v>
      </c>
      <c r="O313">
        <v>52.1</v>
      </c>
      <c r="P313">
        <v>51.4</v>
      </c>
      <c r="Q313">
        <v>106.6</v>
      </c>
      <c r="R313">
        <v>2354.4</v>
      </c>
    </row>
    <row r="314" spans="13:18" x14ac:dyDescent="0.25">
      <c r="M314">
        <v>110.2</v>
      </c>
      <c r="N314">
        <v>51.9</v>
      </c>
      <c r="O314">
        <v>58.7</v>
      </c>
      <c r="P314">
        <v>58</v>
      </c>
      <c r="Q314">
        <v>139.80000000000001</v>
      </c>
      <c r="R314">
        <v>2497.8000000000002</v>
      </c>
    </row>
    <row r="315" spans="13:18" x14ac:dyDescent="0.25">
      <c r="M315">
        <v>123.9</v>
      </c>
      <c r="N315">
        <v>57.5</v>
      </c>
      <c r="O315">
        <v>98.2</v>
      </c>
      <c r="P315">
        <v>59.7</v>
      </c>
      <c r="Q315">
        <v>123.7</v>
      </c>
      <c r="R315">
        <v>2753.1</v>
      </c>
    </row>
    <row r="316" spans="13:18" x14ac:dyDescent="0.25">
      <c r="M316">
        <v>145.69999999999999</v>
      </c>
      <c r="N316">
        <v>108.3</v>
      </c>
      <c r="O316">
        <v>99.6</v>
      </c>
      <c r="P316">
        <v>120.4</v>
      </c>
      <c r="Q316">
        <v>147.69999999999999</v>
      </c>
      <c r="R316">
        <v>3683.2</v>
      </c>
    </row>
    <row r="317" spans="13:18" x14ac:dyDescent="0.25">
      <c r="M317">
        <v>108.6</v>
      </c>
      <c r="N317">
        <v>141.30000000000001</v>
      </c>
      <c r="O317">
        <v>147.6</v>
      </c>
      <c r="P317">
        <v>64.599999999999994</v>
      </c>
      <c r="Q317">
        <v>108.2</v>
      </c>
      <c r="R317">
        <v>3336.7</v>
      </c>
    </row>
    <row r="318" spans="13:18" x14ac:dyDescent="0.25">
      <c r="M318">
        <v>67.599999999999994</v>
      </c>
      <c r="N318">
        <v>52.8</v>
      </c>
      <c r="O318">
        <v>123.9</v>
      </c>
      <c r="P318">
        <v>55.5</v>
      </c>
      <c r="Q318">
        <v>113.3</v>
      </c>
      <c r="R318">
        <v>2845.2</v>
      </c>
    </row>
    <row r="319" spans="13:18" x14ac:dyDescent="0.25">
      <c r="M319">
        <v>147.5</v>
      </c>
      <c r="N319">
        <v>129.80000000000001</v>
      </c>
      <c r="O319">
        <v>87.7</v>
      </c>
      <c r="P319">
        <v>114.5</v>
      </c>
      <c r="Q319">
        <v>57.5</v>
      </c>
      <c r="R319">
        <v>2821.3</v>
      </c>
    </row>
    <row r="320" spans="13:18" x14ac:dyDescent="0.25">
      <c r="M320">
        <v>113.1</v>
      </c>
      <c r="N320">
        <v>81.400000000000006</v>
      </c>
      <c r="O320">
        <v>58.9</v>
      </c>
      <c r="P320">
        <v>72.3</v>
      </c>
      <c r="Q320">
        <v>80.900000000000006</v>
      </c>
      <c r="R320">
        <v>2226.3000000000002</v>
      </c>
    </row>
    <row r="321" spans="13:18" x14ac:dyDescent="0.25">
      <c r="M321">
        <v>101.9</v>
      </c>
      <c r="N321">
        <v>135.9</v>
      </c>
      <c r="O321">
        <v>95.8</v>
      </c>
      <c r="P321">
        <v>67.099999999999994</v>
      </c>
      <c r="Q321">
        <v>53.8</v>
      </c>
      <c r="R321">
        <v>2418.4</v>
      </c>
    </row>
    <row r="322" spans="13:18" x14ac:dyDescent="0.25">
      <c r="M322">
        <v>86.3</v>
      </c>
      <c r="N322">
        <v>95.7</v>
      </c>
      <c r="O322">
        <v>82.1</v>
      </c>
      <c r="P322">
        <v>130.80000000000001</v>
      </c>
      <c r="Q322">
        <v>52.6</v>
      </c>
      <c r="R322">
        <v>2802.8</v>
      </c>
    </row>
    <row r="323" spans="13:18" x14ac:dyDescent="0.25">
      <c r="M323">
        <v>54</v>
      </c>
      <c r="N323">
        <v>63</v>
      </c>
      <c r="O323">
        <v>65.5</v>
      </c>
      <c r="P323">
        <v>128.69999999999999</v>
      </c>
      <c r="Q323">
        <v>116.5</v>
      </c>
      <c r="R323">
        <v>3079</v>
      </c>
    </row>
    <row r="324" spans="13:18" x14ac:dyDescent="0.25">
      <c r="M324">
        <v>123.1</v>
      </c>
      <c r="N324">
        <v>79.5</v>
      </c>
      <c r="O324">
        <v>110.3</v>
      </c>
      <c r="P324">
        <v>143.4</v>
      </c>
      <c r="Q324">
        <v>102.7</v>
      </c>
      <c r="R324">
        <v>3540.8</v>
      </c>
    </row>
    <row r="325" spans="13:18" x14ac:dyDescent="0.25">
      <c r="M325">
        <v>133.80000000000001</v>
      </c>
      <c r="N325">
        <v>144.30000000000001</v>
      </c>
      <c r="O325">
        <v>58.7</v>
      </c>
      <c r="P325">
        <v>118.3</v>
      </c>
      <c r="Q325">
        <v>78.2</v>
      </c>
      <c r="R325">
        <v>2809.2</v>
      </c>
    </row>
    <row r="326" spans="13:18" x14ac:dyDescent="0.25">
      <c r="M326">
        <v>79.599999999999994</v>
      </c>
      <c r="N326">
        <v>100.5</v>
      </c>
      <c r="O326">
        <v>113.1</v>
      </c>
      <c r="P326">
        <v>101.5</v>
      </c>
      <c r="Q326">
        <v>116.3</v>
      </c>
      <c r="R326">
        <v>3338.9</v>
      </c>
    </row>
    <row r="327" spans="13:18" x14ac:dyDescent="0.25">
      <c r="M327">
        <v>70.900000000000006</v>
      </c>
      <c r="N327">
        <v>107</v>
      </c>
      <c r="O327">
        <v>81.8</v>
      </c>
      <c r="P327">
        <v>56.3</v>
      </c>
      <c r="Q327">
        <v>86.4</v>
      </c>
      <c r="R327">
        <v>2392.9</v>
      </c>
    </row>
    <row r="328" spans="13:18" x14ac:dyDescent="0.25">
      <c r="M328">
        <v>146.30000000000001</v>
      </c>
      <c r="N328">
        <v>136.1</v>
      </c>
      <c r="O328">
        <v>52.9</v>
      </c>
      <c r="P328">
        <v>127.2</v>
      </c>
      <c r="Q328">
        <v>53.8</v>
      </c>
      <c r="R328">
        <v>2617.8000000000002</v>
      </c>
    </row>
    <row r="329" spans="13:18" x14ac:dyDescent="0.25">
      <c r="M329">
        <v>70.5</v>
      </c>
      <c r="N329">
        <v>61.1</v>
      </c>
      <c r="O329">
        <v>87.6</v>
      </c>
      <c r="P329">
        <v>79.099999999999994</v>
      </c>
      <c r="Q329">
        <v>130.19999999999999</v>
      </c>
      <c r="R329">
        <v>2907.6</v>
      </c>
    </row>
    <row r="330" spans="13:18" x14ac:dyDescent="0.25">
      <c r="M330">
        <v>87.3</v>
      </c>
      <c r="N330">
        <v>126.2</v>
      </c>
      <c r="O330">
        <v>148.19999999999999</v>
      </c>
      <c r="P330">
        <v>149.4</v>
      </c>
      <c r="Q330">
        <v>139.69999999999999</v>
      </c>
      <c r="R330">
        <v>4373.8</v>
      </c>
    </row>
    <row r="331" spans="13:18" x14ac:dyDescent="0.25">
      <c r="M331">
        <v>115.4</v>
      </c>
      <c r="N331">
        <v>113.6</v>
      </c>
      <c r="O331">
        <v>101.4</v>
      </c>
      <c r="P331">
        <v>77.8</v>
      </c>
      <c r="Q331">
        <v>91.8</v>
      </c>
      <c r="R331">
        <v>2834.4</v>
      </c>
    </row>
    <row r="332" spans="13:18" x14ac:dyDescent="0.25">
      <c r="M332">
        <v>104.5</v>
      </c>
      <c r="N332">
        <v>148.5</v>
      </c>
      <c r="O332">
        <v>62.8</v>
      </c>
      <c r="P332">
        <v>106</v>
      </c>
      <c r="Q332">
        <v>76.599999999999994</v>
      </c>
      <c r="R332">
        <v>2724.4</v>
      </c>
    </row>
    <row r="333" spans="13:18" x14ac:dyDescent="0.25">
      <c r="M333">
        <v>92.1</v>
      </c>
      <c r="N333">
        <v>107.4</v>
      </c>
      <c r="O333">
        <v>72.8</v>
      </c>
      <c r="P333">
        <v>62.2</v>
      </c>
      <c r="Q333">
        <v>122.8</v>
      </c>
      <c r="R333">
        <v>2674.2</v>
      </c>
    </row>
    <row r="334" spans="13:18" x14ac:dyDescent="0.25">
      <c r="M334">
        <v>126</v>
      </c>
      <c r="N334">
        <v>120.9</v>
      </c>
      <c r="O334">
        <v>120.1</v>
      </c>
      <c r="P334">
        <v>70.099999999999994</v>
      </c>
      <c r="Q334">
        <v>84.5</v>
      </c>
      <c r="R334">
        <v>2882.4</v>
      </c>
    </row>
    <row r="335" spans="13:18" x14ac:dyDescent="0.25">
      <c r="M335">
        <v>143.1</v>
      </c>
      <c r="N335">
        <v>85.8</v>
      </c>
      <c r="O335">
        <v>52.6</v>
      </c>
      <c r="P335">
        <v>50.2</v>
      </c>
      <c r="Q335">
        <v>146.4</v>
      </c>
      <c r="R335">
        <v>2521</v>
      </c>
    </row>
    <row r="336" spans="13:18" x14ac:dyDescent="0.25">
      <c r="M336">
        <v>121.1</v>
      </c>
      <c r="N336">
        <v>127.9</v>
      </c>
      <c r="O336">
        <v>142.19999999999999</v>
      </c>
      <c r="P336">
        <v>101.5</v>
      </c>
      <c r="Q336">
        <v>64.7</v>
      </c>
      <c r="R336">
        <v>3236.6</v>
      </c>
    </row>
    <row r="337" spans="13:18" x14ac:dyDescent="0.25">
      <c r="M337">
        <v>142.80000000000001</v>
      </c>
      <c r="N337">
        <v>80.900000000000006</v>
      </c>
      <c r="O337">
        <v>93.7</v>
      </c>
      <c r="P337">
        <v>81.599999999999994</v>
      </c>
      <c r="Q337">
        <v>83</v>
      </c>
      <c r="R337">
        <v>2647.2</v>
      </c>
    </row>
    <row r="338" spans="13:18" x14ac:dyDescent="0.25">
      <c r="M338">
        <v>138.69999999999999</v>
      </c>
      <c r="N338">
        <v>71.900000000000006</v>
      </c>
      <c r="O338">
        <v>113.4</v>
      </c>
      <c r="P338">
        <v>123.5</v>
      </c>
      <c r="Q338">
        <v>89</v>
      </c>
      <c r="R338">
        <v>3243.2</v>
      </c>
    </row>
    <row r="339" spans="13:18" x14ac:dyDescent="0.25">
      <c r="M339">
        <v>99.2</v>
      </c>
      <c r="N339">
        <v>128.4</v>
      </c>
      <c r="O339">
        <v>78.099999999999994</v>
      </c>
      <c r="P339">
        <v>57.2</v>
      </c>
      <c r="Q339">
        <v>102.9</v>
      </c>
      <c r="R339">
        <v>2568.6999999999998</v>
      </c>
    </row>
    <row r="340" spans="13:18" x14ac:dyDescent="0.25">
      <c r="M340">
        <v>71.400000000000006</v>
      </c>
      <c r="N340">
        <v>149.9</v>
      </c>
      <c r="O340">
        <v>70.099999999999994</v>
      </c>
      <c r="P340">
        <v>124.3</v>
      </c>
      <c r="Q340">
        <v>113.6</v>
      </c>
      <c r="R340">
        <v>3283.2</v>
      </c>
    </row>
    <row r="341" spans="13:18" x14ac:dyDescent="0.25">
      <c r="M341">
        <v>80.8</v>
      </c>
      <c r="N341">
        <v>106</v>
      </c>
      <c r="O341">
        <v>68.599999999999994</v>
      </c>
      <c r="P341">
        <v>103</v>
      </c>
      <c r="Q341">
        <v>101.9</v>
      </c>
      <c r="R341">
        <v>2852.4</v>
      </c>
    </row>
    <row r="342" spans="13:18" x14ac:dyDescent="0.25">
      <c r="M342">
        <v>144.80000000000001</v>
      </c>
      <c r="N342">
        <v>55.2</v>
      </c>
      <c r="O342">
        <v>114</v>
      </c>
      <c r="P342">
        <v>83.5</v>
      </c>
      <c r="Q342">
        <v>118.2</v>
      </c>
      <c r="R342">
        <v>3072.1</v>
      </c>
    </row>
    <row r="343" spans="13:18" x14ac:dyDescent="0.25">
      <c r="M343">
        <v>67.599999999999994</v>
      </c>
      <c r="N343">
        <v>97.7</v>
      </c>
      <c r="O343">
        <v>84.7</v>
      </c>
      <c r="P343">
        <v>59</v>
      </c>
      <c r="Q343">
        <v>103.3</v>
      </c>
      <c r="R343">
        <v>2567.1</v>
      </c>
    </row>
    <row r="344" spans="13:18" x14ac:dyDescent="0.25">
      <c r="M344">
        <v>131.69999999999999</v>
      </c>
      <c r="N344">
        <v>103.9</v>
      </c>
      <c r="O344">
        <v>52</v>
      </c>
      <c r="P344">
        <v>123.9</v>
      </c>
      <c r="Q344">
        <v>70.099999999999994</v>
      </c>
      <c r="R344">
        <v>2617.5</v>
      </c>
    </row>
    <row r="345" spans="13:18" x14ac:dyDescent="0.25">
      <c r="M345">
        <v>128.4</v>
      </c>
      <c r="N345">
        <v>83.3</v>
      </c>
      <c r="O345">
        <v>105</v>
      </c>
      <c r="P345">
        <v>93.6</v>
      </c>
      <c r="Q345">
        <v>84.5</v>
      </c>
      <c r="R345">
        <v>2878.6</v>
      </c>
    </row>
    <row r="346" spans="13:18" x14ac:dyDescent="0.25">
      <c r="M346">
        <v>90.7</v>
      </c>
      <c r="N346">
        <v>86.2</v>
      </c>
      <c r="O346">
        <v>59.5</v>
      </c>
      <c r="P346">
        <v>87.9</v>
      </c>
      <c r="Q346">
        <v>113.4</v>
      </c>
      <c r="R346">
        <v>2665.5</v>
      </c>
    </row>
    <row r="347" spans="13:18" x14ac:dyDescent="0.25">
      <c r="M347">
        <v>121.5</v>
      </c>
      <c r="N347">
        <v>51.7</v>
      </c>
      <c r="O347">
        <v>93</v>
      </c>
      <c r="P347">
        <v>142.4</v>
      </c>
      <c r="Q347">
        <v>128.5</v>
      </c>
      <c r="R347">
        <v>3520.4</v>
      </c>
    </row>
    <row r="348" spans="13:18" x14ac:dyDescent="0.25">
      <c r="M348">
        <v>130.4</v>
      </c>
      <c r="N348">
        <v>143.5</v>
      </c>
      <c r="O348">
        <v>70</v>
      </c>
      <c r="P348">
        <v>139.1</v>
      </c>
      <c r="Q348">
        <v>82.8</v>
      </c>
      <c r="R348">
        <v>3139.4</v>
      </c>
    </row>
    <row r="349" spans="13:18" x14ac:dyDescent="0.25">
      <c r="M349">
        <v>122</v>
      </c>
      <c r="N349">
        <v>140.4</v>
      </c>
      <c r="O349">
        <v>149.4</v>
      </c>
      <c r="P349">
        <v>72.3</v>
      </c>
      <c r="Q349">
        <v>100.2</v>
      </c>
      <c r="R349">
        <v>3346.2</v>
      </c>
    </row>
    <row r="350" spans="13:18" x14ac:dyDescent="0.25">
      <c r="M350">
        <v>98.9</v>
      </c>
      <c r="N350">
        <v>69.3</v>
      </c>
      <c r="O350">
        <v>89</v>
      </c>
      <c r="P350">
        <v>88.9</v>
      </c>
      <c r="Q350">
        <v>142.80000000000001</v>
      </c>
      <c r="R350">
        <v>3142.5</v>
      </c>
    </row>
    <row r="351" spans="13:18" x14ac:dyDescent="0.25">
      <c r="M351">
        <v>72.900000000000006</v>
      </c>
      <c r="N351">
        <v>99.6</v>
      </c>
      <c r="O351">
        <v>88</v>
      </c>
      <c r="P351">
        <v>70.7</v>
      </c>
      <c r="Q351">
        <v>148.30000000000001</v>
      </c>
      <c r="R351">
        <v>3082.3</v>
      </c>
    </row>
    <row r="352" spans="13:18" x14ac:dyDescent="0.25">
      <c r="M352">
        <v>97.2</v>
      </c>
      <c r="N352">
        <v>136.4</v>
      </c>
      <c r="O352">
        <v>132.80000000000001</v>
      </c>
      <c r="P352">
        <v>147.80000000000001</v>
      </c>
      <c r="Q352">
        <v>51.7</v>
      </c>
      <c r="R352">
        <v>3504.9</v>
      </c>
    </row>
    <row r="353" spans="13:18" x14ac:dyDescent="0.25">
      <c r="M353">
        <v>62</v>
      </c>
      <c r="N353">
        <v>81.099999999999994</v>
      </c>
      <c r="O353">
        <v>137.5</v>
      </c>
      <c r="P353">
        <v>59.4</v>
      </c>
      <c r="Q353">
        <v>132</v>
      </c>
      <c r="R353">
        <v>3232.9</v>
      </c>
    </row>
    <row r="354" spans="13:18" x14ac:dyDescent="0.25">
      <c r="M354">
        <v>118.8</v>
      </c>
      <c r="N354">
        <v>147.9</v>
      </c>
      <c r="O354">
        <v>93.1</v>
      </c>
      <c r="P354">
        <v>102.4</v>
      </c>
      <c r="Q354">
        <v>50.8</v>
      </c>
      <c r="R354">
        <v>2740.5</v>
      </c>
    </row>
    <row r="355" spans="13:18" x14ac:dyDescent="0.25">
      <c r="M355">
        <v>123.2</v>
      </c>
      <c r="N355">
        <v>52.5</v>
      </c>
      <c r="O355">
        <v>68.400000000000006</v>
      </c>
      <c r="P355">
        <v>133.80000000000001</v>
      </c>
      <c r="Q355">
        <v>72</v>
      </c>
      <c r="R355">
        <v>2745.9</v>
      </c>
    </row>
    <row r="356" spans="13:18" x14ac:dyDescent="0.25">
      <c r="M356">
        <v>113.3</v>
      </c>
      <c r="N356">
        <v>114.1</v>
      </c>
      <c r="O356">
        <v>125.6</v>
      </c>
      <c r="P356">
        <v>116.7</v>
      </c>
      <c r="Q356">
        <v>78.400000000000006</v>
      </c>
      <c r="R356">
        <v>3304.1</v>
      </c>
    </row>
    <row r="357" spans="13:18" x14ac:dyDescent="0.25">
      <c r="M357">
        <v>63</v>
      </c>
      <c r="N357">
        <v>136</v>
      </c>
      <c r="O357">
        <v>143.9</v>
      </c>
      <c r="P357">
        <v>126.8</v>
      </c>
      <c r="Q357">
        <v>127.4</v>
      </c>
      <c r="R357">
        <v>4041.4</v>
      </c>
    </row>
    <row r="358" spans="13:18" x14ac:dyDescent="0.25">
      <c r="M358">
        <v>76.099999999999994</v>
      </c>
      <c r="N358">
        <v>54.3</v>
      </c>
      <c r="O358">
        <v>64.2</v>
      </c>
      <c r="P358">
        <v>58.6</v>
      </c>
      <c r="Q358">
        <v>108.7</v>
      </c>
      <c r="R358">
        <v>2312.9</v>
      </c>
    </row>
    <row r="359" spans="13:18" x14ac:dyDescent="0.25">
      <c r="M359">
        <v>112.6</v>
      </c>
      <c r="N359">
        <v>72.900000000000006</v>
      </c>
      <c r="O359">
        <v>97.2</v>
      </c>
      <c r="P359">
        <v>98.1</v>
      </c>
      <c r="Q359">
        <v>97.4</v>
      </c>
      <c r="R359">
        <v>2929.3</v>
      </c>
    </row>
    <row r="360" spans="13:18" x14ac:dyDescent="0.25">
      <c r="M360">
        <v>61.7</v>
      </c>
      <c r="N360">
        <v>122.6</v>
      </c>
      <c r="O360">
        <v>60.1</v>
      </c>
      <c r="P360">
        <v>51.7</v>
      </c>
      <c r="Q360">
        <v>116.1</v>
      </c>
      <c r="R360">
        <v>2445.9</v>
      </c>
    </row>
    <row r="361" spans="13:18" x14ac:dyDescent="0.25">
      <c r="M361">
        <v>103.6</v>
      </c>
      <c r="N361">
        <v>112.2</v>
      </c>
      <c r="O361">
        <v>132.30000000000001</v>
      </c>
      <c r="P361">
        <v>148</v>
      </c>
      <c r="Q361">
        <v>147.69999999999999</v>
      </c>
      <c r="R361">
        <v>4247.8999999999996</v>
      </c>
    </row>
    <row r="362" spans="13:18" x14ac:dyDescent="0.25">
      <c r="M362">
        <v>123.3</v>
      </c>
      <c r="N362">
        <v>60.2</v>
      </c>
      <c r="O362">
        <v>145.9</v>
      </c>
      <c r="P362">
        <v>51.7</v>
      </c>
      <c r="Q362">
        <v>64.099999999999994</v>
      </c>
      <c r="R362">
        <v>2605.1999999999998</v>
      </c>
    </row>
    <row r="363" spans="13:18" x14ac:dyDescent="0.25">
      <c r="M363">
        <v>70.400000000000006</v>
      </c>
      <c r="N363">
        <v>124.9</v>
      </c>
      <c r="O363">
        <v>51.4</v>
      </c>
      <c r="P363">
        <v>56.7</v>
      </c>
      <c r="Q363">
        <v>61.9</v>
      </c>
      <c r="R363">
        <v>1969.7</v>
      </c>
    </row>
    <row r="364" spans="13:18" x14ac:dyDescent="0.25">
      <c r="M364">
        <v>76.7</v>
      </c>
      <c r="N364">
        <v>71.599999999999994</v>
      </c>
      <c r="O364">
        <v>124.6</v>
      </c>
      <c r="P364">
        <v>147.9</v>
      </c>
      <c r="Q364">
        <v>119.5</v>
      </c>
      <c r="R364">
        <v>3821.4</v>
      </c>
    </row>
    <row r="365" spans="13:18" x14ac:dyDescent="0.25">
      <c r="M365">
        <v>76.2</v>
      </c>
      <c r="N365">
        <v>143.30000000000001</v>
      </c>
      <c r="O365">
        <v>105.5</v>
      </c>
      <c r="P365">
        <v>148.1</v>
      </c>
      <c r="Q365">
        <v>118.3</v>
      </c>
      <c r="R365">
        <v>3850.7</v>
      </c>
    </row>
    <row r="366" spans="13:18" x14ac:dyDescent="0.25">
      <c r="M366">
        <v>89.4</v>
      </c>
      <c r="N366">
        <v>126.2</v>
      </c>
      <c r="O366">
        <v>83.7</v>
      </c>
      <c r="P366">
        <v>89.9</v>
      </c>
      <c r="Q366">
        <v>91.3</v>
      </c>
      <c r="R366">
        <v>2816.3</v>
      </c>
    </row>
    <row r="367" spans="13:18" x14ac:dyDescent="0.25">
      <c r="M367">
        <v>65</v>
      </c>
      <c r="N367">
        <v>124.3</v>
      </c>
      <c r="O367">
        <v>72</v>
      </c>
      <c r="P367">
        <v>79.099999999999994</v>
      </c>
      <c r="Q367">
        <v>91.6</v>
      </c>
      <c r="R367">
        <v>2620.3000000000002</v>
      </c>
    </row>
    <row r="368" spans="13:18" x14ac:dyDescent="0.25">
      <c r="M368">
        <v>94.4</v>
      </c>
      <c r="N368">
        <v>84.9</v>
      </c>
      <c r="O368">
        <v>134.1</v>
      </c>
      <c r="P368">
        <v>139.19999999999999</v>
      </c>
      <c r="Q368">
        <v>95</v>
      </c>
      <c r="R368">
        <v>3658.4</v>
      </c>
    </row>
    <row r="369" spans="13:18" x14ac:dyDescent="0.25">
      <c r="M369">
        <v>137.69999999999999</v>
      </c>
      <c r="N369">
        <v>139.5</v>
      </c>
      <c r="O369">
        <v>55.4</v>
      </c>
      <c r="P369">
        <v>53.6</v>
      </c>
      <c r="Q369">
        <v>78.8</v>
      </c>
      <c r="R369">
        <v>2160.6</v>
      </c>
    </row>
    <row r="370" spans="13:18" x14ac:dyDescent="0.25">
      <c r="M370">
        <v>129.80000000000001</v>
      </c>
      <c r="N370">
        <v>51.8</v>
      </c>
      <c r="O370">
        <v>74.5</v>
      </c>
      <c r="P370">
        <v>145.5</v>
      </c>
      <c r="Q370">
        <v>141.19999999999999</v>
      </c>
      <c r="R370">
        <v>3489.9</v>
      </c>
    </row>
    <row r="371" spans="13:18" x14ac:dyDescent="0.25">
      <c r="M371">
        <v>54</v>
      </c>
      <c r="N371">
        <v>88.2</v>
      </c>
      <c r="O371">
        <v>114.3</v>
      </c>
      <c r="P371">
        <v>61.5</v>
      </c>
      <c r="Q371">
        <v>51.8</v>
      </c>
      <c r="R371">
        <v>2396</v>
      </c>
    </row>
    <row r="372" spans="13:18" x14ac:dyDescent="0.25">
      <c r="M372">
        <v>102.2</v>
      </c>
      <c r="N372">
        <v>50.5</v>
      </c>
      <c r="O372">
        <v>80</v>
      </c>
      <c r="P372">
        <v>148.69999999999999</v>
      </c>
      <c r="Q372">
        <v>50.3</v>
      </c>
      <c r="R372">
        <v>2795.1</v>
      </c>
    </row>
    <row r="373" spans="13:18" x14ac:dyDescent="0.25">
      <c r="M373">
        <v>58.8</v>
      </c>
      <c r="N373">
        <v>137.5</v>
      </c>
      <c r="O373">
        <v>112.8</v>
      </c>
      <c r="P373">
        <v>142.80000000000001</v>
      </c>
      <c r="Q373">
        <v>132.80000000000001</v>
      </c>
      <c r="R373">
        <v>3961.5</v>
      </c>
    </row>
    <row r="374" spans="13:18" x14ac:dyDescent="0.25">
      <c r="M374">
        <v>76.599999999999994</v>
      </c>
      <c r="N374">
        <v>125.9</v>
      </c>
      <c r="O374">
        <v>116.7</v>
      </c>
      <c r="P374">
        <v>105</v>
      </c>
      <c r="Q374">
        <v>91.1</v>
      </c>
      <c r="R374">
        <v>3255.1</v>
      </c>
    </row>
    <row r="375" spans="13:18" x14ac:dyDescent="0.25">
      <c r="M375">
        <v>133.9</v>
      </c>
      <c r="N375">
        <v>85.5</v>
      </c>
      <c r="O375">
        <v>97.3</v>
      </c>
      <c r="P375">
        <v>76.599999999999994</v>
      </c>
      <c r="Q375">
        <v>96.8</v>
      </c>
      <c r="R375">
        <v>2750</v>
      </c>
    </row>
    <row r="376" spans="13:18" x14ac:dyDescent="0.25">
      <c r="M376">
        <v>89.4</v>
      </c>
      <c r="N376">
        <v>70.5</v>
      </c>
      <c r="O376">
        <v>80.3</v>
      </c>
      <c r="P376">
        <v>138.69999999999999</v>
      </c>
      <c r="Q376">
        <v>144.9</v>
      </c>
      <c r="R376">
        <v>3557.4</v>
      </c>
    </row>
    <row r="377" spans="13:18" x14ac:dyDescent="0.25">
      <c r="M377">
        <v>74.3</v>
      </c>
      <c r="N377">
        <v>50.8</v>
      </c>
      <c r="O377">
        <v>97.8</v>
      </c>
      <c r="P377">
        <v>95.3</v>
      </c>
      <c r="Q377">
        <v>97.7</v>
      </c>
      <c r="R377">
        <v>2851.8</v>
      </c>
    </row>
    <row r="378" spans="13:18" x14ac:dyDescent="0.25">
      <c r="M378">
        <v>88.4</v>
      </c>
      <c r="N378">
        <v>76.2</v>
      </c>
      <c r="O378">
        <v>60.4</v>
      </c>
      <c r="P378">
        <v>118.8</v>
      </c>
      <c r="Q378">
        <v>94.9</v>
      </c>
      <c r="R378">
        <v>2787.4</v>
      </c>
    </row>
    <row r="379" spans="13:18" x14ac:dyDescent="0.25">
      <c r="M379">
        <v>90.2</v>
      </c>
      <c r="N379">
        <v>86.5</v>
      </c>
      <c r="O379">
        <v>54.4</v>
      </c>
      <c r="P379">
        <v>123.7</v>
      </c>
      <c r="Q379">
        <v>120.1</v>
      </c>
      <c r="R379">
        <v>3012.2</v>
      </c>
    </row>
    <row r="380" spans="13:18" x14ac:dyDescent="0.25">
      <c r="M380">
        <v>96.5</v>
      </c>
      <c r="N380">
        <v>110.8</v>
      </c>
      <c r="O380">
        <v>129.6</v>
      </c>
      <c r="P380">
        <v>60.3</v>
      </c>
      <c r="Q380">
        <v>139.9</v>
      </c>
      <c r="R380">
        <v>3320</v>
      </c>
    </row>
    <row r="381" spans="13:18" x14ac:dyDescent="0.25">
      <c r="M381">
        <v>133.1</v>
      </c>
      <c r="N381">
        <v>119.2</v>
      </c>
      <c r="O381">
        <v>69.3</v>
      </c>
      <c r="P381">
        <v>142.6</v>
      </c>
      <c r="Q381">
        <v>55.5</v>
      </c>
      <c r="R381">
        <v>2875</v>
      </c>
    </row>
    <row r="382" spans="13:18" x14ac:dyDescent="0.25">
      <c r="M382">
        <v>100.6</v>
      </c>
      <c r="N382">
        <v>119.5</v>
      </c>
      <c r="O382">
        <v>57.3</v>
      </c>
      <c r="P382">
        <v>51.3</v>
      </c>
      <c r="Q382">
        <v>133.30000000000001</v>
      </c>
      <c r="R382">
        <v>2550.6999999999998</v>
      </c>
    </row>
    <row r="383" spans="13:18" x14ac:dyDescent="0.25">
      <c r="M383">
        <v>147.6</v>
      </c>
      <c r="N383">
        <v>113.1</v>
      </c>
      <c r="O383">
        <v>82.9</v>
      </c>
      <c r="P383">
        <v>78.5</v>
      </c>
      <c r="Q383">
        <v>104.1</v>
      </c>
      <c r="R383">
        <v>2782.4</v>
      </c>
    </row>
    <row r="384" spans="13:18" x14ac:dyDescent="0.25">
      <c r="M384">
        <v>65.8</v>
      </c>
      <c r="N384">
        <v>51.6</v>
      </c>
      <c r="O384">
        <v>149.1</v>
      </c>
      <c r="P384">
        <v>103.8</v>
      </c>
      <c r="Q384">
        <v>147.6</v>
      </c>
      <c r="R384">
        <v>3810.5</v>
      </c>
    </row>
    <row r="385" spans="13:18" x14ac:dyDescent="0.25">
      <c r="M385">
        <v>148</v>
      </c>
      <c r="N385">
        <v>59.2</v>
      </c>
      <c r="O385">
        <v>75.5</v>
      </c>
      <c r="P385">
        <v>117.4</v>
      </c>
      <c r="Q385">
        <v>101.7</v>
      </c>
      <c r="R385">
        <v>2923.5</v>
      </c>
    </row>
    <row r="386" spans="13:18" x14ac:dyDescent="0.25">
      <c r="M386">
        <v>74.7</v>
      </c>
      <c r="N386">
        <v>111.8</v>
      </c>
      <c r="O386">
        <v>110.5</v>
      </c>
      <c r="P386">
        <v>131.1</v>
      </c>
      <c r="Q386">
        <v>63.2</v>
      </c>
      <c r="R386">
        <v>3183.6</v>
      </c>
    </row>
    <row r="387" spans="13:18" x14ac:dyDescent="0.25">
      <c r="M387">
        <v>119.9</v>
      </c>
      <c r="N387">
        <v>88.9</v>
      </c>
      <c r="O387">
        <v>94</v>
      </c>
      <c r="P387">
        <v>143.6</v>
      </c>
      <c r="Q387">
        <v>70.400000000000006</v>
      </c>
      <c r="R387">
        <v>3144.1</v>
      </c>
    </row>
    <row r="388" spans="13:18" x14ac:dyDescent="0.25">
      <c r="M388">
        <v>91.2</v>
      </c>
      <c r="N388">
        <v>137.1</v>
      </c>
      <c r="O388">
        <v>136.4</v>
      </c>
      <c r="P388">
        <v>148.6</v>
      </c>
      <c r="Q388">
        <v>82.4</v>
      </c>
      <c r="R388">
        <v>3806.3</v>
      </c>
    </row>
    <row r="389" spans="13:18" x14ac:dyDescent="0.25">
      <c r="M389">
        <v>146.19999999999999</v>
      </c>
      <c r="N389">
        <v>113.7</v>
      </c>
      <c r="O389">
        <v>103.5</v>
      </c>
      <c r="P389">
        <v>104.1</v>
      </c>
      <c r="Q389">
        <v>96.2</v>
      </c>
      <c r="R389">
        <v>3138.7</v>
      </c>
    </row>
    <row r="390" spans="13:18" x14ac:dyDescent="0.25">
      <c r="M390">
        <v>149.30000000000001</v>
      </c>
      <c r="N390">
        <v>98.1</v>
      </c>
      <c r="O390">
        <v>124.7</v>
      </c>
      <c r="P390">
        <v>100.9</v>
      </c>
      <c r="Q390">
        <v>68.400000000000006</v>
      </c>
      <c r="R390">
        <v>3025</v>
      </c>
    </row>
    <row r="391" spans="13:18" x14ac:dyDescent="0.25">
      <c r="M391">
        <v>59.7</v>
      </c>
      <c r="N391">
        <v>88.8</v>
      </c>
      <c r="O391">
        <v>63.4</v>
      </c>
      <c r="P391">
        <v>97.7</v>
      </c>
      <c r="Q391">
        <v>129.6</v>
      </c>
      <c r="R391">
        <v>2943.2</v>
      </c>
    </row>
    <row r="392" spans="13:18" x14ac:dyDescent="0.25">
      <c r="M392">
        <v>67.900000000000006</v>
      </c>
      <c r="N392">
        <v>125.6</v>
      </c>
      <c r="O392">
        <v>115.8</v>
      </c>
      <c r="P392">
        <v>113.1</v>
      </c>
      <c r="Q392">
        <v>109.7</v>
      </c>
      <c r="R392">
        <v>3482.6</v>
      </c>
    </row>
    <row r="393" spans="13:18" x14ac:dyDescent="0.25">
      <c r="M393">
        <v>118.7</v>
      </c>
      <c r="N393">
        <v>102.4</v>
      </c>
      <c r="O393">
        <v>129.5</v>
      </c>
      <c r="P393">
        <v>88.8</v>
      </c>
      <c r="Q393">
        <v>112.9</v>
      </c>
      <c r="R393">
        <v>3339.1</v>
      </c>
    </row>
    <row r="394" spans="13:18" x14ac:dyDescent="0.25">
      <c r="M394">
        <v>89.1</v>
      </c>
      <c r="N394">
        <v>62.3</v>
      </c>
      <c r="O394">
        <v>56.2</v>
      </c>
      <c r="P394">
        <v>67.3</v>
      </c>
      <c r="Q394">
        <v>109</v>
      </c>
      <c r="R394">
        <v>2343.1999999999998</v>
      </c>
    </row>
    <row r="395" spans="13:18" x14ac:dyDescent="0.25">
      <c r="M395">
        <v>109.1</v>
      </c>
      <c r="N395">
        <v>89.5</v>
      </c>
      <c r="O395">
        <v>80.400000000000006</v>
      </c>
      <c r="P395">
        <v>146.6</v>
      </c>
      <c r="Q395">
        <v>131.30000000000001</v>
      </c>
      <c r="R395">
        <v>3565.2</v>
      </c>
    </row>
    <row r="396" spans="13:18" x14ac:dyDescent="0.25">
      <c r="M396">
        <v>142.9</v>
      </c>
      <c r="N396">
        <v>139.30000000000001</v>
      </c>
      <c r="O396">
        <v>88.1</v>
      </c>
      <c r="P396">
        <v>104.6</v>
      </c>
      <c r="Q396">
        <v>96.9</v>
      </c>
      <c r="R396">
        <v>3090.3</v>
      </c>
    </row>
    <row r="397" spans="13:18" x14ac:dyDescent="0.25">
      <c r="M397">
        <v>70.599999999999994</v>
      </c>
      <c r="N397">
        <v>71.400000000000006</v>
      </c>
      <c r="O397">
        <v>68.8</v>
      </c>
      <c r="P397">
        <v>109</v>
      </c>
      <c r="Q397">
        <v>89.7</v>
      </c>
      <c r="R397">
        <v>2717.7</v>
      </c>
    </row>
    <row r="398" spans="13:18" x14ac:dyDescent="0.25">
      <c r="M398">
        <v>135.6</v>
      </c>
      <c r="N398">
        <v>77.599999999999994</v>
      </c>
      <c r="O398">
        <v>63</v>
      </c>
      <c r="P398">
        <v>51.2</v>
      </c>
      <c r="Q398">
        <v>71.7</v>
      </c>
      <c r="R398">
        <v>1975.2</v>
      </c>
    </row>
    <row r="399" spans="13:18" x14ac:dyDescent="0.25">
      <c r="M399">
        <v>148.80000000000001</v>
      </c>
      <c r="N399">
        <v>119.2</v>
      </c>
      <c r="O399">
        <v>98.6</v>
      </c>
      <c r="P399">
        <v>72.099999999999994</v>
      </c>
      <c r="Q399">
        <v>114.2</v>
      </c>
      <c r="R399">
        <v>2960.8</v>
      </c>
    </row>
    <row r="400" spans="13:18" x14ac:dyDescent="0.25">
      <c r="M400">
        <v>64.599999999999994</v>
      </c>
      <c r="N400">
        <v>114.7</v>
      </c>
      <c r="O400">
        <v>80.8</v>
      </c>
      <c r="P400">
        <v>69.900000000000006</v>
      </c>
      <c r="Q400">
        <v>62.8</v>
      </c>
      <c r="R400">
        <v>2335.4</v>
      </c>
    </row>
    <row r="401" spans="13:18" x14ac:dyDescent="0.25">
      <c r="M401">
        <v>71.099999999999994</v>
      </c>
      <c r="N401">
        <v>143.4</v>
      </c>
      <c r="O401">
        <v>125.8</v>
      </c>
      <c r="P401">
        <v>103.8</v>
      </c>
      <c r="Q401">
        <v>78.599999999999994</v>
      </c>
      <c r="R401">
        <v>3268.6</v>
      </c>
    </row>
    <row r="402" spans="13:18" x14ac:dyDescent="0.25">
      <c r="M402">
        <v>56.9</v>
      </c>
      <c r="N402">
        <v>56.1</v>
      </c>
      <c r="O402">
        <v>54.3</v>
      </c>
      <c r="P402">
        <v>137.19999999999999</v>
      </c>
      <c r="Q402">
        <v>120</v>
      </c>
      <c r="R402">
        <v>3069.6</v>
      </c>
    </row>
    <row r="403" spans="13:18" x14ac:dyDescent="0.25">
      <c r="M403">
        <v>148.80000000000001</v>
      </c>
      <c r="N403">
        <v>107.5</v>
      </c>
      <c r="O403">
        <v>85.7</v>
      </c>
      <c r="P403">
        <v>83.1</v>
      </c>
      <c r="Q403">
        <v>56.1</v>
      </c>
      <c r="R403">
        <v>2428.5</v>
      </c>
    </row>
    <row r="404" spans="13:18" x14ac:dyDescent="0.25">
      <c r="M404">
        <v>133.19999999999999</v>
      </c>
      <c r="N404">
        <v>52.1</v>
      </c>
      <c r="O404">
        <v>97.8</v>
      </c>
      <c r="P404">
        <v>144.4</v>
      </c>
      <c r="Q404">
        <v>127.7</v>
      </c>
      <c r="R404">
        <v>3576.1</v>
      </c>
    </row>
    <row r="405" spans="13:18" x14ac:dyDescent="0.25">
      <c r="M405">
        <v>103.4</v>
      </c>
      <c r="N405">
        <v>67.599999999999994</v>
      </c>
      <c r="O405">
        <v>143.9</v>
      </c>
      <c r="P405">
        <v>63.9</v>
      </c>
      <c r="Q405">
        <v>95.8</v>
      </c>
      <c r="R405">
        <v>2996.6</v>
      </c>
    </row>
    <row r="406" spans="13:18" x14ac:dyDescent="0.25">
      <c r="M406">
        <v>97.4</v>
      </c>
      <c r="N406">
        <v>99</v>
      </c>
      <c r="O406">
        <v>141.30000000000001</v>
      </c>
      <c r="P406">
        <v>124.3</v>
      </c>
      <c r="Q406">
        <v>143.80000000000001</v>
      </c>
      <c r="R406">
        <v>4027.9</v>
      </c>
    </row>
    <row r="407" spans="13:18" x14ac:dyDescent="0.25">
      <c r="M407">
        <v>118.2</v>
      </c>
      <c r="N407">
        <v>135.9</v>
      </c>
      <c r="O407">
        <v>73.3</v>
      </c>
      <c r="P407">
        <v>64.599999999999994</v>
      </c>
      <c r="Q407">
        <v>124</v>
      </c>
      <c r="R407">
        <v>2781.9</v>
      </c>
    </row>
    <row r="408" spans="13:18" x14ac:dyDescent="0.25">
      <c r="M408">
        <v>50.3</v>
      </c>
      <c r="N408">
        <v>66.099999999999994</v>
      </c>
      <c r="O408">
        <v>69.599999999999994</v>
      </c>
      <c r="P408">
        <v>102.9</v>
      </c>
      <c r="Q408">
        <v>63.6</v>
      </c>
      <c r="R408">
        <v>2425.3000000000002</v>
      </c>
    </row>
    <row r="409" spans="13:18" x14ac:dyDescent="0.25">
      <c r="M409">
        <v>114.9</v>
      </c>
      <c r="N409">
        <v>70</v>
      </c>
      <c r="O409">
        <v>55.5</v>
      </c>
      <c r="P409">
        <v>81.5</v>
      </c>
      <c r="Q409">
        <v>71.2</v>
      </c>
      <c r="R409">
        <v>2173.9</v>
      </c>
    </row>
    <row r="410" spans="13:18" x14ac:dyDescent="0.25">
      <c r="M410">
        <v>128.5</v>
      </c>
      <c r="N410">
        <v>146.69999999999999</v>
      </c>
      <c r="O410">
        <v>86.4</v>
      </c>
      <c r="P410">
        <v>75.5</v>
      </c>
      <c r="Q410">
        <v>109.3</v>
      </c>
      <c r="R410">
        <v>2912.8</v>
      </c>
    </row>
    <row r="411" spans="13:18" x14ac:dyDescent="0.25">
      <c r="M411">
        <v>55.1</v>
      </c>
      <c r="N411">
        <v>87.1</v>
      </c>
      <c r="O411">
        <v>107.3</v>
      </c>
      <c r="P411">
        <v>128.5</v>
      </c>
      <c r="Q411">
        <v>123.5</v>
      </c>
      <c r="R411">
        <v>3565.1</v>
      </c>
    </row>
    <row r="412" spans="13:18" x14ac:dyDescent="0.25">
      <c r="M412">
        <v>68.900000000000006</v>
      </c>
      <c r="N412">
        <v>135.19999999999999</v>
      </c>
      <c r="O412">
        <v>103.3</v>
      </c>
      <c r="P412">
        <v>108.9</v>
      </c>
      <c r="Q412">
        <v>143.9</v>
      </c>
      <c r="R412">
        <v>3650.9</v>
      </c>
    </row>
    <row r="413" spans="13:18" x14ac:dyDescent="0.25">
      <c r="M413">
        <v>66.900000000000006</v>
      </c>
      <c r="N413">
        <v>102.9</v>
      </c>
      <c r="O413">
        <v>132.19999999999999</v>
      </c>
      <c r="P413">
        <v>100.5</v>
      </c>
      <c r="Q413">
        <v>99.2</v>
      </c>
      <c r="R413">
        <v>3361.6</v>
      </c>
    </row>
    <row r="414" spans="13:18" x14ac:dyDescent="0.25">
      <c r="M414">
        <v>97.7</v>
      </c>
      <c r="N414">
        <v>128.4</v>
      </c>
      <c r="O414">
        <v>53.8</v>
      </c>
      <c r="P414">
        <v>67.7</v>
      </c>
      <c r="Q414">
        <v>109.8</v>
      </c>
      <c r="R414">
        <v>2509.9</v>
      </c>
    </row>
    <row r="415" spans="13:18" x14ac:dyDescent="0.25">
      <c r="M415">
        <v>96.6</v>
      </c>
      <c r="N415">
        <v>95.6</v>
      </c>
      <c r="O415">
        <v>97.4</v>
      </c>
      <c r="P415">
        <v>63</v>
      </c>
      <c r="Q415">
        <v>149.9</v>
      </c>
      <c r="R415">
        <v>3108.7</v>
      </c>
    </row>
    <row r="416" spans="13:18" x14ac:dyDescent="0.25">
      <c r="M416">
        <v>143.9</v>
      </c>
      <c r="N416">
        <v>52.1</v>
      </c>
      <c r="O416">
        <v>132.6</v>
      </c>
      <c r="P416">
        <v>65.5</v>
      </c>
      <c r="Q416">
        <v>93.7</v>
      </c>
      <c r="R416">
        <v>2846.7</v>
      </c>
    </row>
    <row r="417" spans="13:18" x14ac:dyDescent="0.25">
      <c r="M417">
        <v>84.9</v>
      </c>
      <c r="N417">
        <v>95.2</v>
      </c>
      <c r="O417">
        <v>134.6</v>
      </c>
      <c r="P417">
        <v>66.099999999999994</v>
      </c>
      <c r="Q417">
        <v>87.9</v>
      </c>
      <c r="R417">
        <v>2940.6</v>
      </c>
    </row>
    <row r="418" spans="13:18" x14ac:dyDescent="0.25">
      <c r="M418">
        <v>79.3</v>
      </c>
      <c r="N418">
        <v>112.7</v>
      </c>
      <c r="O418">
        <v>59.2</v>
      </c>
      <c r="P418">
        <v>142</v>
      </c>
      <c r="Q418">
        <v>114.8</v>
      </c>
      <c r="R418">
        <v>3260.7</v>
      </c>
    </row>
    <row r="419" spans="13:18" x14ac:dyDescent="0.25">
      <c r="M419">
        <v>69</v>
      </c>
      <c r="N419">
        <v>97.3</v>
      </c>
      <c r="O419">
        <v>67.400000000000006</v>
      </c>
      <c r="P419">
        <v>83.2</v>
      </c>
      <c r="Q419">
        <v>137</v>
      </c>
      <c r="R419">
        <v>2928.3</v>
      </c>
    </row>
    <row r="420" spans="13:18" x14ac:dyDescent="0.25">
      <c r="M420">
        <v>81.599999999999994</v>
      </c>
      <c r="N420">
        <v>73.5</v>
      </c>
      <c r="O420">
        <v>67.5</v>
      </c>
      <c r="P420">
        <v>64.3</v>
      </c>
      <c r="Q420">
        <v>139.5</v>
      </c>
      <c r="R420">
        <v>2703.9</v>
      </c>
    </row>
    <row r="421" spans="13:18" x14ac:dyDescent="0.25">
      <c r="M421">
        <v>108.4</v>
      </c>
      <c r="N421">
        <v>102.5</v>
      </c>
      <c r="O421">
        <v>62.3</v>
      </c>
      <c r="P421">
        <v>75.3</v>
      </c>
      <c r="Q421">
        <v>109.6</v>
      </c>
      <c r="R421">
        <v>2583.5</v>
      </c>
    </row>
    <row r="422" spans="13:18" x14ac:dyDescent="0.25">
      <c r="M422">
        <v>124.1</v>
      </c>
      <c r="N422">
        <v>56.8</v>
      </c>
      <c r="O422">
        <v>119.7</v>
      </c>
      <c r="P422">
        <v>53.5</v>
      </c>
      <c r="Q422">
        <v>120.3</v>
      </c>
      <c r="R422">
        <v>2856.7</v>
      </c>
    </row>
    <row r="423" spans="13:18" x14ac:dyDescent="0.25">
      <c r="M423">
        <v>137.5</v>
      </c>
      <c r="N423">
        <v>79.900000000000006</v>
      </c>
      <c r="O423">
        <v>105.4</v>
      </c>
      <c r="P423">
        <v>80.3</v>
      </c>
      <c r="Q423">
        <v>108</v>
      </c>
      <c r="R423">
        <v>2934.9</v>
      </c>
    </row>
    <row r="424" spans="13:18" x14ac:dyDescent="0.25">
      <c r="M424">
        <v>89.7</v>
      </c>
      <c r="N424">
        <v>70.099999999999994</v>
      </c>
      <c r="O424">
        <v>145</v>
      </c>
      <c r="P424">
        <v>136.19999999999999</v>
      </c>
      <c r="Q424">
        <v>59.7</v>
      </c>
      <c r="R424">
        <v>3399.4</v>
      </c>
    </row>
    <row r="425" spans="13:18" x14ac:dyDescent="0.25">
      <c r="M425">
        <v>141</v>
      </c>
      <c r="N425">
        <v>56.8</v>
      </c>
      <c r="O425">
        <v>104.1</v>
      </c>
      <c r="P425">
        <v>126.6</v>
      </c>
      <c r="Q425">
        <v>50.8</v>
      </c>
      <c r="R425">
        <v>2827.7</v>
      </c>
    </row>
    <row r="426" spans="13:18" x14ac:dyDescent="0.25">
      <c r="M426">
        <v>109.7</v>
      </c>
      <c r="N426">
        <v>57.5</v>
      </c>
      <c r="O426">
        <v>104.2</v>
      </c>
      <c r="P426">
        <v>121.4</v>
      </c>
      <c r="Q426">
        <v>99.2</v>
      </c>
      <c r="R426">
        <v>3179.5</v>
      </c>
    </row>
    <row r="427" spans="13:18" x14ac:dyDescent="0.25">
      <c r="M427">
        <v>56.4</v>
      </c>
      <c r="N427">
        <v>132.30000000000001</v>
      </c>
      <c r="O427">
        <v>113.4</v>
      </c>
      <c r="P427">
        <v>72.5</v>
      </c>
      <c r="Q427">
        <v>125</v>
      </c>
      <c r="R427">
        <v>3223.8</v>
      </c>
    </row>
    <row r="428" spans="13:18" x14ac:dyDescent="0.25">
      <c r="M428">
        <v>127.8</v>
      </c>
      <c r="N428">
        <v>76.7</v>
      </c>
      <c r="O428">
        <v>78.3</v>
      </c>
      <c r="P428">
        <v>101.4</v>
      </c>
      <c r="Q428">
        <v>133.80000000000001</v>
      </c>
      <c r="R428">
        <v>3108.9</v>
      </c>
    </row>
    <row r="429" spans="13:18" x14ac:dyDescent="0.25">
      <c r="M429">
        <v>100.2</v>
      </c>
      <c r="N429">
        <v>116.8</v>
      </c>
      <c r="O429">
        <v>87.7</v>
      </c>
      <c r="P429">
        <v>70.099999999999994</v>
      </c>
      <c r="Q429">
        <v>62</v>
      </c>
      <c r="R429">
        <v>2404</v>
      </c>
    </row>
    <row r="430" spans="13:18" x14ac:dyDescent="0.25">
      <c r="M430">
        <v>89.8</v>
      </c>
      <c r="N430">
        <v>100.2</v>
      </c>
      <c r="O430">
        <v>83</v>
      </c>
      <c r="P430">
        <v>78.900000000000006</v>
      </c>
      <c r="Q430">
        <v>50.7</v>
      </c>
      <c r="R430">
        <v>2303.8000000000002</v>
      </c>
    </row>
    <row r="431" spans="13:18" x14ac:dyDescent="0.25">
      <c r="M431">
        <v>119.3</v>
      </c>
      <c r="N431">
        <v>95.4</v>
      </c>
      <c r="O431">
        <v>57.3</v>
      </c>
      <c r="P431">
        <v>54.4</v>
      </c>
      <c r="Q431">
        <v>139.30000000000001</v>
      </c>
      <c r="R431">
        <v>2574.6</v>
      </c>
    </row>
    <row r="432" spans="13:18" x14ac:dyDescent="0.25">
      <c r="M432">
        <v>56.8</v>
      </c>
      <c r="N432">
        <v>142.19999999999999</v>
      </c>
      <c r="O432">
        <v>107.3</v>
      </c>
      <c r="P432">
        <v>118.7</v>
      </c>
      <c r="Q432">
        <v>93.3</v>
      </c>
      <c r="R432">
        <v>3369.3</v>
      </c>
    </row>
    <row r="433" spans="13:18" x14ac:dyDescent="0.25">
      <c r="M433">
        <v>67.8</v>
      </c>
      <c r="N433">
        <v>117.7</v>
      </c>
      <c r="O433">
        <v>129.9</v>
      </c>
      <c r="P433">
        <v>57.3</v>
      </c>
      <c r="Q433">
        <v>107.4</v>
      </c>
      <c r="R433">
        <v>3038.6</v>
      </c>
    </row>
    <row r="434" spans="13:18" x14ac:dyDescent="0.25">
      <c r="M434">
        <v>145</v>
      </c>
      <c r="N434">
        <v>109.7</v>
      </c>
      <c r="O434">
        <v>78.099999999999994</v>
      </c>
      <c r="P434">
        <v>123.5</v>
      </c>
      <c r="Q434">
        <v>50.5</v>
      </c>
      <c r="R434">
        <v>2710</v>
      </c>
    </row>
    <row r="435" spans="13:18" x14ac:dyDescent="0.25">
      <c r="M435">
        <v>108.5</v>
      </c>
      <c r="N435">
        <v>111.3</v>
      </c>
      <c r="O435">
        <v>117.4</v>
      </c>
      <c r="P435">
        <v>146.9</v>
      </c>
      <c r="Q435">
        <v>141.1</v>
      </c>
      <c r="R435">
        <v>4041.7</v>
      </c>
    </row>
    <row r="436" spans="13:18" x14ac:dyDescent="0.25">
      <c r="M436">
        <v>89.3</v>
      </c>
      <c r="N436">
        <v>79.5</v>
      </c>
      <c r="O436">
        <v>148.6</v>
      </c>
      <c r="P436">
        <v>136.30000000000001</v>
      </c>
      <c r="Q436">
        <v>70.900000000000006</v>
      </c>
      <c r="R436">
        <v>3547.2</v>
      </c>
    </row>
    <row r="437" spans="13:18" x14ac:dyDescent="0.25">
      <c r="M437">
        <v>139.5</v>
      </c>
      <c r="N437">
        <v>121.3</v>
      </c>
      <c r="O437">
        <v>86.8</v>
      </c>
      <c r="P437">
        <v>91.4</v>
      </c>
      <c r="Q437">
        <v>115.9</v>
      </c>
      <c r="R437">
        <v>3065.7</v>
      </c>
    </row>
    <row r="438" spans="13:18" x14ac:dyDescent="0.25">
      <c r="M438">
        <v>132.5</v>
      </c>
      <c r="N438">
        <v>99.6</v>
      </c>
      <c r="O438">
        <v>112.9</v>
      </c>
      <c r="P438">
        <v>66.400000000000006</v>
      </c>
      <c r="Q438">
        <v>101.2</v>
      </c>
      <c r="R438">
        <v>2872.9</v>
      </c>
    </row>
    <row r="439" spans="13:18" x14ac:dyDescent="0.25">
      <c r="M439">
        <v>145.6</v>
      </c>
      <c r="N439">
        <v>73.900000000000006</v>
      </c>
      <c r="O439">
        <v>137.69999999999999</v>
      </c>
      <c r="P439">
        <v>148</v>
      </c>
      <c r="Q439">
        <v>109.8</v>
      </c>
      <c r="R439">
        <v>3868.2</v>
      </c>
    </row>
    <row r="440" spans="13:18" x14ac:dyDescent="0.25">
      <c r="M440">
        <v>139.4</v>
      </c>
      <c r="N440">
        <v>115.7</v>
      </c>
      <c r="O440">
        <v>145</v>
      </c>
      <c r="P440">
        <v>141.30000000000001</v>
      </c>
      <c r="Q440">
        <v>51.1</v>
      </c>
      <c r="R440">
        <v>3485.8</v>
      </c>
    </row>
    <row r="441" spans="13:18" x14ac:dyDescent="0.25">
      <c r="M441">
        <v>75.099999999999994</v>
      </c>
      <c r="N441">
        <v>65.8</v>
      </c>
      <c r="O441">
        <v>103.2</v>
      </c>
      <c r="P441">
        <v>77.2</v>
      </c>
      <c r="Q441">
        <v>129.9</v>
      </c>
      <c r="R441">
        <v>3043.7</v>
      </c>
    </row>
    <row r="442" spans="13:18" x14ac:dyDescent="0.25">
      <c r="M442">
        <v>135.80000000000001</v>
      </c>
      <c r="N442">
        <v>122.8</v>
      </c>
      <c r="O442">
        <v>62.5</v>
      </c>
      <c r="P442">
        <v>83.1</v>
      </c>
      <c r="Q442">
        <v>81.7</v>
      </c>
      <c r="R442">
        <v>2484.4</v>
      </c>
    </row>
    <row r="443" spans="13:18" x14ac:dyDescent="0.25">
      <c r="M443">
        <v>141.19999999999999</v>
      </c>
      <c r="N443">
        <v>78.400000000000006</v>
      </c>
      <c r="O443">
        <v>76.7</v>
      </c>
      <c r="P443">
        <v>81.8</v>
      </c>
      <c r="Q443">
        <v>63.8</v>
      </c>
      <c r="R443">
        <v>2320.3000000000002</v>
      </c>
    </row>
    <row r="444" spans="13:18" x14ac:dyDescent="0.25">
      <c r="M444">
        <v>72.7</v>
      </c>
      <c r="N444">
        <v>141.80000000000001</v>
      </c>
      <c r="O444">
        <v>116.2</v>
      </c>
      <c r="P444">
        <v>110</v>
      </c>
      <c r="Q444">
        <v>119.9</v>
      </c>
      <c r="R444">
        <v>3586.6</v>
      </c>
    </row>
    <row r="445" spans="13:18" x14ac:dyDescent="0.25">
      <c r="M445">
        <v>148.5</v>
      </c>
      <c r="N445">
        <v>116.3</v>
      </c>
      <c r="O445">
        <v>63.3</v>
      </c>
      <c r="P445">
        <v>71</v>
      </c>
      <c r="Q445">
        <v>56.2</v>
      </c>
      <c r="R445">
        <v>2145.6999999999998</v>
      </c>
    </row>
    <row r="446" spans="13:18" x14ac:dyDescent="0.25">
      <c r="M446">
        <v>115.1</v>
      </c>
      <c r="N446">
        <v>121</v>
      </c>
      <c r="O446">
        <v>103.6</v>
      </c>
      <c r="P446">
        <v>63.1</v>
      </c>
      <c r="Q446">
        <v>97.4</v>
      </c>
      <c r="R446">
        <v>2783.5</v>
      </c>
    </row>
    <row r="447" spans="13:18" x14ac:dyDescent="0.25">
      <c r="M447">
        <v>144.9</v>
      </c>
      <c r="N447">
        <v>71.900000000000006</v>
      </c>
      <c r="O447">
        <v>56.5</v>
      </c>
      <c r="P447">
        <v>149.19999999999999</v>
      </c>
      <c r="Q447">
        <v>110.6</v>
      </c>
      <c r="R447">
        <v>3158.3</v>
      </c>
    </row>
    <row r="448" spans="13:18" x14ac:dyDescent="0.25">
      <c r="M448">
        <v>56.5</v>
      </c>
      <c r="N448">
        <v>62.9</v>
      </c>
      <c r="O448">
        <v>108.3</v>
      </c>
      <c r="P448">
        <v>57.7</v>
      </c>
      <c r="Q448">
        <v>114.8</v>
      </c>
      <c r="R448">
        <v>2765.8</v>
      </c>
    </row>
    <row r="449" spans="13:18" x14ac:dyDescent="0.25">
      <c r="M449">
        <v>97.7</v>
      </c>
      <c r="N449">
        <v>114.1</v>
      </c>
      <c r="O449">
        <v>140</v>
      </c>
      <c r="P449">
        <v>130.5</v>
      </c>
      <c r="Q449">
        <v>115.5</v>
      </c>
      <c r="R449">
        <v>3881.5</v>
      </c>
    </row>
    <row r="450" spans="13:18" x14ac:dyDescent="0.25">
      <c r="M450">
        <v>57.3</v>
      </c>
      <c r="N450">
        <v>75.3</v>
      </c>
      <c r="O450">
        <v>64.2</v>
      </c>
      <c r="P450">
        <v>59.9</v>
      </c>
      <c r="Q450">
        <v>130.5</v>
      </c>
      <c r="R450">
        <v>2557.8000000000002</v>
      </c>
    </row>
    <row r="451" spans="13:18" x14ac:dyDescent="0.25">
      <c r="M451">
        <v>95.5</v>
      </c>
      <c r="N451">
        <v>102.7</v>
      </c>
      <c r="O451">
        <v>113.6</v>
      </c>
      <c r="P451">
        <v>77.599999999999994</v>
      </c>
      <c r="Q451">
        <v>96.6</v>
      </c>
      <c r="R451">
        <v>2961.4</v>
      </c>
    </row>
    <row r="452" spans="13:18" x14ac:dyDescent="0.25">
      <c r="M452">
        <v>109.6</v>
      </c>
      <c r="N452">
        <v>148.19999999999999</v>
      </c>
      <c r="O452">
        <v>144.1</v>
      </c>
      <c r="P452">
        <v>88.6</v>
      </c>
      <c r="Q452">
        <v>74.900000000000006</v>
      </c>
      <c r="R452">
        <v>3270.5</v>
      </c>
    </row>
    <row r="453" spans="13:18" x14ac:dyDescent="0.25">
      <c r="M453">
        <v>74.7</v>
      </c>
      <c r="N453">
        <v>127.2</v>
      </c>
      <c r="O453">
        <v>145.5</v>
      </c>
      <c r="P453">
        <v>65.400000000000006</v>
      </c>
      <c r="Q453">
        <v>92.7</v>
      </c>
      <c r="R453">
        <v>3153.2</v>
      </c>
    </row>
    <row r="454" spans="13:18" x14ac:dyDescent="0.25">
      <c r="M454">
        <v>125.6</v>
      </c>
      <c r="N454">
        <v>55.5</v>
      </c>
      <c r="O454">
        <v>74.099999999999994</v>
      </c>
      <c r="P454">
        <v>141.30000000000001</v>
      </c>
      <c r="Q454">
        <v>89.6</v>
      </c>
      <c r="R454">
        <v>3023</v>
      </c>
    </row>
    <row r="455" spans="13:18" x14ac:dyDescent="0.25">
      <c r="M455">
        <v>70.8</v>
      </c>
      <c r="N455">
        <v>71</v>
      </c>
      <c r="O455">
        <v>148.4</v>
      </c>
      <c r="P455">
        <v>70.8</v>
      </c>
      <c r="Q455">
        <v>57.6</v>
      </c>
      <c r="R455">
        <v>2782.2</v>
      </c>
    </row>
    <row r="456" spans="13:18" x14ac:dyDescent="0.25">
      <c r="M456">
        <v>52.3</v>
      </c>
      <c r="N456">
        <v>81.099999999999994</v>
      </c>
      <c r="O456">
        <v>72.8</v>
      </c>
      <c r="P456">
        <v>146.19999999999999</v>
      </c>
      <c r="Q456">
        <v>91</v>
      </c>
      <c r="R456">
        <v>3143</v>
      </c>
    </row>
    <row r="457" spans="13:18" x14ac:dyDescent="0.25">
      <c r="M457">
        <v>95.4</v>
      </c>
      <c r="N457">
        <v>100.3</v>
      </c>
      <c r="O457">
        <v>81.099999999999994</v>
      </c>
      <c r="P457">
        <v>86.4</v>
      </c>
      <c r="Q457">
        <v>86.6</v>
      </c>
      <c r="R457">
        <v>2650.5</v>
      </c>
    </row>
    <row r="458" spans="13:18" x14ac:dyDescent="0.25">
      <c r="M458">
        <v>110</v>
      </c>
      <c r="N458">
        <v>70.7</v>
      </c>
      <c r="O458">
        <v>114.7</v>
      </c>
      <c r="P458">
        <v>138.80000000000001</v>
      </c>
      <c r="Q458">
        <v>59.9</v>
      </c>
      <c r="R458">
        <v>3149.7</v>
      </c>
    </row>
    <row r="459" spans="13:18" x14ac:dyDescent="0.25">
      <c r="M459">
        <v>137.5</v>
      </c>
      <c r="N459">
        <v>78.400000000000006</v>
      </c>
      <c r="O459">
        <v>75.400000000000006</v>
      </c>
      <c r="P459">
        <v>59.5</v>
      </c>
      <c r="Q459">
        <v>68.099999999999994</v>
      </c>
      <c r="R459">
        <v>2135.8000000000002</v>
      </c>
    </row>
    <row r="460" spans="13:18" x14ac:dyDescent="0.25">
      <c r="M460">
        <v>56.6</v>
      </c>
      <c r="N460">
        <v>108.7</v>
      </c>
      <c r="O460">
        <v>120.1</v>
      </c>
      <c r="P460">
        <v>63</v>
      </c>
      <c r="Q460">
        <v>55.2</v>
      </c>
      <c r="R460">
        <v>2543.3000000000002</v>
      </c>
    </row>
    <row r="461" spans="13:18" x14ac:dyDescent="0.25">
      <c r="M461">
        <v>90.1</v>
      </c>
      <c r="N461">
        <v>104.5</v>
      </c>
      <c r="O461">
        <v>87.1</v>
      </c>
      <c r="P461">
        <v>56.3</v>
      </c>
      <c r="Q461">
        <v>60.1</v>
      </c>
      <c r="R461">
        <v>2216.1</v>
      </c>
    </row>
    <row r="462" spans="13:18" x14ac:dyDescent="0.25">
      <c r="M462">
        <v>76.900000000000006</v>
      </c>
      <c r="N462">
        <v>119</v>
      </c>
      <c r="O462">
        <v>68.7</v>
      </c>
      <c r="P462">
        <v>98.2</v>
      </c>
      <c r="Q462">
        <v>53.1</v>
      </c>
      <c r="R462">
        <v>2424.6999999999998</v>
      </c>
    </row>
    <row r="463" spans="13:18" x14ac:dyDescent="0.25">
      <c r="M463">
        <v>101.6</v>
      </c>
      <c r="N463">
        <v>78</v>
      </c>
      <c r="O463">
        <v>73.099999999999994</v>
      </c>
      <c r="P463">
        <v>50.7</v>
      </c>
      <c r="Q463">
        <v>91.8</v>
      </c>
      <c r="R463">
        <v>2233.5</v>
      </c>
    </row>
    <row r="464" spans="13:18" x14ac:dyDescent="0.25">
      <c r="M464">
        <v>96</v>
      </c>
      <c r="N464">
        <v>92.4</v>
      </c>
      <c r="O464">
        <v>138.6</v>
      </c>
      <c r="P464">
        <v>110.5</v>
      </c>
      <c r="Q464">
        <v>111.3</v>
      </c>
      <c r="R464">
        <v>3582.5</v>
      </c>
    </row>
    <row r="465" spans="13:18" x14ac:dyDescent="0.25">
      <c r="M465">
        <v>52.9</v>
      </c>
      <c r="N465">
        <v>87.4</v>
      </c>
      <c r="O465">
        <v>92.8</v>
      </c>
      <c r="P465">
        <v>139</v>
      </c>
      <c r="Q465">
        <v>90.3</v>
      </c>
      <c r="R465">
        <v>3263.8</v>
      </c>
    </row>
    <row r="466" spans="13:18" x14ac:dyDescent="0.25">
      <c r="M466">
        <v>119.2</v>
      </c>
      <c r="N466">
        <v>137.6</v>
      </c>
      <c r="O466">
        <v>70.7</v>
      </c>
      <c r="P466">
        <v>129.4</v>
      </c>
      <c r="Q466">
        <v>57.7</v>
      </c>
      <c r="R466">
        <v>2835.3</v>
      </c>
    </row>
    <row r="467" spans="13:18" x14ac:dyDescent="0.25">
      <c r="M467">
        <v>58.1</v>
      </c>
      <c r="N467">
        <v>124.6</v>
      </c>
      <c r="O467">
        <v>134.30000000000001</v>
      </c>
      <c r="P467">
        <v>78.099999999999994</v>
      </c>
      <c r="Q467">
        <v>131.6</v>
      </c>
      <c r="R467">
        <v>3497.1</v>
      </c>
    </row>
    <row r="468" spans="13:18" x14ac:dyDescent="0.25">
      <c r="M468">
        <v>95.5</v>
      </c>
      <c r="N468">
        <v>57.8</v>
      </c>
      <c r="O468">
        <v>57.2</v>
      </c>
      <c r="P468">
        <v>149.30000000000001</v>
      </c>
      <c r="Q468">
        <v>104.8</v>
      </c>
      <c r="R468">
        <v>3081.7</v>
      </c>
    </row>
    <row r="469" spans="13:18" x14ac:dyDescent="0.25">
      <c r="M469">
        <v>92.1</v>
      </c>
      <c r="N469">
        <v>123.4</v>
      </c>
      <c r="O469">
        <v>66.5</v>
      </c>
      <c r="P469">
        <v>50.3</v>
      </c>
      <c r="Q469">
        <v>118.1</v>
      </c>
      <c r="R469">
        <v>2517.8000000000002</v>
      </c>
    </row>
    <row r="470" spans="13:18" x14ac:dyDescent="0.25">
      <c r="M470">
        <v>106.7</v>
      </c>
      <c r="N470">
        <v>52.6</v>
      </c>
      <c r="O470">
        <v>56.5</v>
      </c>
      <c r="P470">
        <v>56.2</v>
      </c>
      <c r="Q470">
        <v>88.5</v>
      </c>
      <c r="R470">
        <v>2042.8</v>
      </c>
    </row>
    <row r="471" spans="13:18" x14ac:dyDescent="0.25">
      <c r="M471">
        <v>141.1</v>
      </c>
      <c r="N471">
        <v>124.4</v>
      </c>
      <c r="O471">
        <v>115.5</v>
      </c>
      <c r="P471">
        <v>51.8</v>
      </c>
      <c r="Q471">
        <v>79.400000000000006</v>
      </c>
      <c r="R471">
        <v>2638.7</v>
      </c>
    </row>
    <row r="472" spans="13:18" x14ac:dyDescent="0.25">
      <c r="M472">
        <v>81.7</v>
      </c>
      <c r="N472">
        <v>144.30000000000001</v>
      </c>
      <c r="O472">
        <v>131.4</v>
      </c>
      <c r="P472">
        <v>79.099999999999994</v>
      </c>
      <c r="Q472">
        <v>132.4</v>
      </c>
      <c r="R472">
        <v>3549.9</v>
      </c>
    </row>
    <row r="473" spans="13:18" x14ac:dyDescent="0.25">
      <c r="M473">
        <v>80</v>
      </c>
      <c r="N473">
        <v>63.3</v>
      </c>
      <c r="O473">
        <v>65.900000000000006</v>
      </c>
      <c r="P473">
        <v>107.4</v>
      </c>
      <c r="Q473">
        <v>98.9</v>
      </c>
      <c r="R473">
        <v>2727.5</v>
      </c>
    </row>
    <row r="474" spans="13:18" x14ac:dyDescent="0.25">
      <c r="M474">
        <v>135.4</v>
      </c>
      <c r="N474">
        <v>129.4</v>
      </c>
      <c r="O474">
        <v>113.7</v>
      </c>
      <c r="P474">
        <v>66.599999999999994</v>
      </c>
      <c r="Q474">
        <v>136.9</v>
      </c>
      <c r="R474">
        <v>3254.3</v>
      </c>
    </row>
    <row r="475" spans="13:18" x14ac:dyDescent="0.25">
      <c r="M475">
        <v>73.5</v>
      </c>
      <c r="N475">
        <v>85.4</v>
      </c>
      <c r="O475">
        <v>87.6</v>
      </c>
      <c r="P475">
        <v>108.7</v>
      </c>
      <c r="Q475">
        <v>65.900000000000006</v>
      </c>
      <c r="R475">
        <v>2704.5</v>
      </c>
    </row>
    <row r="476" spans="13:18" x14ac:dyDescent="0.25">
      <c r="M476">
        <v>132.80000000000001</v>
      </c>
      <c r="N476">
        <v>55.5</v>
      </c>
      <c r="O476">
        <v>93.2</v>
      </c>
      <c r="P476">
        <v>88.5</v>
      </c>
      <c r="Q476">
        <v>92.8</v>
      </c>
      <c r="R476">
        <v>2718.1</v>
      </c>
    </row>
    <row r="477" spans="13:18" x14ac:dyDescent="0.25">
      <c r="M477">
        <v>102.9</v>
      </c>
      <c r="N477">
        <v>84.5</v>
      </c>
      <c r="O477">
        <v>87.3</v>
      </c>
      <c r="P477">
        <v>79.099999999999994</v>
      </c>
      <c r="Q477">
        <v>51.7</v>
      </c>
      <c r="R477">
        <v>2309.1</v>
      </c>
    </row>
    <row r="478" spans="13:18" x14ac:dyDescent="0.25">
      <c r="M478">
        <v>78.099999999999994</v>
      </c>
      <c r="N478">
        <v>122.3</v>
      </c>
      <c r="O478">
        <v>131.6</v>
      </c>
      <c r="P478">
        <v>62.5</v>
      </c>
      <c r="Q478">
        <v>121</v>
      </c>
      <c r="R478">
        <v>3225.8</v>
      </c>
    </row>
    <row r="479" spans="13:18" x14ac:dyDescent="0.25">
      <c r="M479">
        <v>117.6</v>
      </c>
      <c r="N479">
        <v>67</v>
      </c>
      <c r="O479">
        <v>85.3</v>
      </c>
      <c r="P479">
        <v>62</v>
      </c>
      <c r="Q479">
        <v>111.2</v>
      </c>
      <c r="R479">
        <v>2585</v>
      </c>
    </row>
    <row r="480" spans="13:18" x14ac:dyDescent="0.25">
      <c r="M480">
        <v>128.5</v>
      </c>
      <c r="N480">
        <v>108.9</v>
      </c>
      <c r="O480">
        <v>101.4</v>
      </c>
      <c r="P480">
        <v>105.4</v>
      </c>
      <c r="Q480">
        <v>136</v>
      </c>
      <c r="R480">
        <v>3455.8</v>
      </c>
    </row>
    <row r="481" spans="13:18" x14ac:dyDescent="0.25">
      <c r="M481">
        <v>111.4</v>
      </c>
      <c r="N481">
        <v>140.9</v>
      </c>
      <c r="O481">
        <v>116.5</v>
      </c>
      <c r="P481">
        <v>135.69999999999999</v>
      </c>
      <c r="Q481">
        <v>109.7</v>
      </c>
      <c r="R481">
        <v>3746.3</v>
      </c>
    </row>
    <row r="482" spans="13:18" x14ac:dyDescent="0.25">
      <c r="M482">
        <v>133.9</v>
      </c>
      <c r="N482">
        <v>124.7</v>
      </c>
      <c r="O482">
        <v>50.6</v>
      </c>
      <c r="P482">
        <v>110</v>
      </c>
      <c r="Q482">
        <v>135.30000000000001</v>
      </c>
      <c r="R482">
        <v>3076.8</v>
      </c>
    </row>
    <row r="483" spans="13:18" x14ac:dyDescent="0.25">
      <c r="M483">
        <v>124.5</v>
      </c>
      <c r="N483">
        <v>130.1</v>
      </c>
      <c r="O483">
        <v>57.5</v>
      </c>
      <c r="P483">
        <v>51.7</v>
      </c>
      <c r="Q483">
        <v>74.3</v>
      </c>
      <c r="R483">
        <v>2105.1999999999998</v>
      </c>
    </row>
    <row r="484" spans="13:18" x14ac:dyDescent="0.25">
      <c r="M484">
        <v>100.2</v>
      </c>
      <c r="N484">
        <v>86.4</v>
      </c>
      <c r="O484">
        <v>91.1</v>
      </c>
      <c r="P484">
        <v>146.6</v>
      </c>
      <c r="Q484">
        <v>113.5</v>
      </c>
      <c r="R484">
        <v>3502.3</v>
      </c>
    </row>
    <row r="485" spans="13:18" x14ac:dyDescent="0.25">
      <c r="M485">
        <v>69.900000000000006</v>
      </c>
      <c r="N485">
        <v>113</v>
      </c>
      <c r="O485">
        <v>78</v>
      </c>
      <c r="P485">
        <v>99.3</v>
      </c>
      <c r="Q485">
        <v>70.400000000000006</v>
      </c>
      <c r="R485">
        <v>2645.3</v>
      </c>
    </row>
    <row r="486" spans="13:18" x14ac:dyDescent="0.25">
      <c r="M486">
        <v>78.8</v>
      </c>
      <c r="N486">
        <v>119.1</v>
      </c>
      <c r="O486">
        <v>113.1</v>
      </c>
      <c r="P486">
        <v>89.3</v>
      </c>
      <c r="Q486">
        <v>101.1</v>
      </c>
      <c r="R486">
        <v>3143</v>
      </c>
    </row>
    <row r="487" spans="13:18" x14ac:dyDescent="0.25">
      <c r="M487">
        <v>84.6</v>
      </c>
      <c r="N487">
        <v>87.3</v>
      </c>
      <c r="O487">
        <v>117.2</v>
      </c>
      <c r="P487">
        <v>94.2</v>
      </c>
      <c r="Q487">
        <v>103.3</v>
      </c>
      <c r="R487">
        <v>3151.2</v>
      </c>
    </row>
    <row r="488" spans="13:18" x14ac:dyDescent="0.25">
      <c r="M488">
        <v>80.599999999999994</v>
      </c>
      <c r="N488">
        <v>83.5</v>
      </c>
      <c r="O488">
        <v>124</v>
      </c>
      <c r="P488">
        <v>68</v>
      </c>
      <c r="Q488">
        <v>128.6</v>
      </c>
      <c r="R488">
        <v>3169.9</v>
      </c>
    </row>
    <row r="489" spans="13:18" x14ac:dyDescent="0.25">
      <c r="M489">
        <v>106.9</v>
      </c>
      <c r="N489">
        <v>58</v>
      </c>
      <c r="O489">
        <v>85.6</v>
      </c>
      <c r="P489">
        <v>93.2</v>
      </c>
      <c r="Q489">
        <v>145</v>
      </c>
      <c r="R489">
        <v>3143.3</v>
      </c>
    </row>
    <row r="490" spans="13:18" x14ac:dyDescent="0.25">
      <c r="M490">
        <v>115.1</v>
      </c>
      <c r="N490">
        <v>127</v>
      </c>
      <c r="O490">
        <v>112.8</v>
      </c>
      <c r="P490">
        <v>144.6</v>
      </c>
      <c r="Q490">
        <v>115.9</v>
      </c>
      <c r="R490">
        <v>3819</v>
      </c>
    </row>
    <row r="491" spans="13:18" x14ac:dyDescent="0.25">
      <c r="M491">
        <v>77.3</v>
      </c>
      <c r="N491">
        <v>52.6</v>
      </c>
      <c r="O491">
        <v>91.4</v>
      </c>
      <c r="P491">
        <v>132.5</v>
      </c>
      <c r="Q491">
        <v>85.4</v>
      </c>
      <c r="R491">
        <v>3051.4</v>
      </c>
    </row>
    <row r="492" spans="13:18" x14ac:dyDescent="0.25">
      <c r="M492">
        <v>54.3</v>
      </c>
      <c r="N492">
        <v>60.3</v>
      </c>
      <c r="O492">
        <v>138.6</v>
      </c>
      <c r="P492">
        <v>114.6</v>
      </c>
      <c r="Q492">
        <v>86</v>
      </c>
      <c r="R492">
        <v>3320.6</v>
      </c>
    </row>
    <row r="493" spans="13:18" x14ac:dyDescent="0.25">
      <c r="M493">
        <v>65.2</v>
      </c>
      <c r="N493">
        <v>59.5</v>
      </c>
      <c r="O493">
        <v>92.1</v>
      </c>
      <c r="P493">
        <v>92.5</v>
      </c>
      <c r="Q493">
        <v>109.1</v>
      </c>
      <c r="R493">
        <v>2893.7</v>
      </c>
    </row>
    <row r="494" spans="13:18" x14ac:dyDescent="0.25">
      <c r="M494">
        <v>121.8</v>
      </c>
      <c r="N494">
        <v>59</v>
      </c>
      <c r="O494">
        <v>145.19999999999999</v>
      </c>
      <c r="P494">
        <v>134</v>
      </c>
      <c r="Q494">
        <v>104.1</v>
      </c>
      <c r="R494">
        <v>3712.6</v>
      </c>
    </row>
    <row r="495" spans="13:18" x14ac:dyDescent="0.25">
      <c r="M495">
        <v>120.8</v>
      </c>
      <c r="N495">
        <v>91.9</v>
      </c>
      <c r="O495">
        <v>71.099999999999994</v>
      </c>
      <c r="P495">
        <v>86.3</v>
      </c>
      <c r="Q495">
        <v>96.8</v>
      </c>
      <c r="R495">
        <v>2631</v>
      </c>
    </row>
    <row r="496" spans="13:18" x14ac:dyDescent="0.25">
      <c r="M496">
        <v>107.2</v>
      </c>
      <c r="N496">
        <v>90.5</v>
      </c>
      <c r="O496">
        <v>99.7</v>
      </c>
      <c r="P496">
        <v>70.400000000000006</v>
      </c>
      <c r="Q496">
        <v>142</v>
      </c>
      <c r="R496">
        <v>3111.8</v>
      </c>
    </row>
    <row r="497" spans="13:18" x14ac:dyDescent="0.25">
      <c r="M497">
        <v>51.3</v>
      </c>
      <c r="N497">
        <v>77.599999999999994</v>
      </c>
      <c r="O497">
        <v>139.30000000000001</v>
      </c>
      <c r="P497">
        <v>73.900000000000006</v>
      </c>
      <c r="Q497">
        <v>52.1</v>
      </c>
      <c r="R497">
        <v>2705.9</v>
      </c>
    </row>
    <row r="498" spans="13:18" x14ac:dyDescent="0.25">
      <c r="M498">
        <v>104.5</v>
      </c>
      <c r="N498">
        <v>64.8</v>
      </c>
      <c r="O498">
        <v>57.1</v>
      </c>
      <c r="P498">
        <v>80</v>
      </c>
      <c r="Q498">
        <v>66.5</v>
      </c>
      <c r="R498">
        <v>2118.1999999999998</v>
      </c>
    </row>
    <row r="499" spans="13:18" x14ac:dyDescent="0.25">
      <c r="M499">
        <v>122.7</v>
      </c>
      <c r="N499">
        <v>72.3</v>
      </c>
      <c r="O499">
        <v>61.4</v>
      </c>
      <c r="P499">
        <v>101.5</v>
      </c>
      <c r="Q499">
        <v>52.7</v>
      </c>
      <c r="R499">
        <v>2266.1</v>
      </c>
    </row>
    <row r="500" spans="13:18" x14ac:dyDescent="0.25">
      <c r="M500">
        <v>76.8</v>
      </c>
      <c r="N500">
        <v>112</v>
      </c>
      <c r="O500">
        <v>148.80000000000001</v>
      </c>
      <c r="P500">
        <v>108.6</v>
      </c>
      <c r="Q500">
        <v>54.4</v>
      </c>
      <c r="R500">
        <v>3225.4</v>
      </c>
    </row>
    <row r="501" spans="13:18" x14ac:dyDescent="0.25">
      <c r="M501">
        <v>86.2</v>
      </c>
      <c r="N501">
        <v>99.2</v>
      </c>
      <c r="O501">
        <v>108.1</v>
      </c>
      <c r="P501">
        <v>65.5</v>
      </c>
      <c r="Q501">
        <v>127.5</v>
      </c>
      <c r="R501">
        <v>3043.8</v>
      </c>
    </row>
    <row r="502" spans="13:18" x14ac:dyDescent="0.25">
      <c r="M502">
        <v>145.1</v>
      </c>
      <c r="N502">
        <v>83.1</v>
      </c>
      <c r="O502">
        <v>97</v>
      </c>
      <c r="P502">
        <v>118.8</v>
      </c>
      <c r="Q502">
        <v>130.5</v>
      </c>
      <c r="R502">
        <v>3428.4</v>
      </c>
    </row>
    <row r="503" spans="13:18" x14ac:dyDescent="0.25">
      <c r="M503">
        <v>129.6</v>
      </c>
      <c r="N503">
        <v>112.6</v>
      </c>
      <c r="O503">
        <v>131.6</v>
      </c>
      <c r="P503">
        <v>101.1</v>
      </c>
      <c r="Q503">
        <v>57.6</v>
      </c>
      <c r="R503">
        <v>3031.5</v>
      </c>
    </row>
    <row r="504" spans="13:18" x14ac:dyDescent="0.25">
      <c r="M504">
        <v>102.3</v>
      </c>
      <c r="N504">
        <v>76.900000000000006</v>
      </c>
      <c r="O504">
        <v>53.8</v>
      </c>
      <c r="P504">
        <v>141.19999999999999</v>
      </c>
      <c r="Q504">
        <v>132.6</v>
      </c>
      <c r="R504">
        <v>3258.2</v>
      </c>
    </row>
    <row r="505" spans="13:18" x14ac:dyDescent="0.25">
      <c r="M505">
        <v>54.4</v>
      </c>
      <c r="N505">
        <v>87.5</v>
      </c>
      <c r="O505">
        <v>68.5</v>
      </c>
      <c r="P505">
        <v>97</v>
      </c>
      <c r="Q505">
        <v>103.1</v>
      </c>
      <c r="R505">
        <v>2749.1</v>
      </c>
    </row>
    <row r="506" spans="13:18" x14ac:dyDescent="0.25">
      <c r="M506">
        <v>52.3</v>
      </c>
      <c r="N506">
        <v>91.6</v>
      </c>
      <c r="O506">
        <v>65</v>
      </c>
      <c r="P506">
        <v>50.9</v>
      </c>
      <c r="Q506">
        <v>100.1</v>
      </c>
      <c r="R506">
        <v>2268.1</v>
      </c>
    </row>
    <row r="507" spans="13:18" x14ac:dyDescent="0.25">
      <c r="M507">
        <v>77</v>
      </c>
      <c r="N507">
        <v>133.19999999999999</v>
      </c>
      <c r="O507">
        <v>65</v>
      </c>
      <c r="P507">
        <v>134.1</v>
      </c>
      <c r="Q507">
        <v>54.8</v>
      </c>
      <c r="R507">
        <v>2797.2</v>
      </c>
    </row>
    <row r="508" spans="13:18" x14ac:dyDescent="0.25">
      <c r="M508">
        <v>74.3</v>
      </c>
      <c r="N508">
        <v>101.3</v>
      </c>
      <c r="O508">
        <v>59.4</v>
      </c>
      <c r="P508">
        <v>69.5</v>
      </c>
      <c r="Q508">
        <v>87.8</v>
      </c>
      <c r="R508">
        <v>2320.6999999999998</v>
      </c>
    </row>
    <row r="509" spans="13:18" x14ac:dyDescent="0.25">
      <c r="M509">
        <v>55</v>
      </c>
      <c r="N509">
        <v>132.5</v>
      </c>
      <c r="O509">
        <v>129.5</v>
      </c>
      <c r="P509">
        <v>149.69999999999999</v>
      </c>
      <c r="Q509">
        <v>110.5</v>
      </c>
      <c r="R509">
        <v>3977.8</v>
      </c>
    </row>
    <row r="510" spans="13:18" x14ac:dyDescent="0.25">
      <c r="M510">
        <v>111.4</v>
      </c>
      <c r="N510">
        <v>57.3</v>
      </c>
      <c r="O510">
        <v>62.8</v>
      </c>
      <c r="P510">
        <v>90.9</v>
      </c>
      <c r="Q510">
        <v>105.6</v>
      </c>
      <c r="R510">
        <v>2582.9</v>
      </c>
    </row>
    <row r="511" spans="13:18" x14ac:dyDescent="0.25">
      <c r="M511">
        <v>139.5</v>
      </c>
      <c r="N511">
        <v>105.9</v>
      </c>
      <c r="O511">
        <v>108.7</v>
      </c>
      <c r="P511">
        <v>126.5</v>
      </c>
      <c r="Q511">
        <v>76.8</v>
      </c>
      <c r="R511">
        <v>3214.2</v>
      </c>
    </row>
    <row r="512" spans="13:18" x14ac:dyDescent="0.25">
      <c r="M512">
        <v>85</v>
      </c>
      <c r="N512">
        <v>115.2</v>
      </c>
      <c r="O512">
        <v>136.80000000000001</v>
      </c>
      <c r="P512">
        <v>133.69999999999999</v>
      </c>
      <c r="Q512">
        <v>82.3</v>
      </c>
      <c r="R512">
        <v>3603.2</v>
      </c>
    </row>
    <row r="513" spans="13:18" x14ac:dyDescent="0.25">
      <c r="M513">
        <v>50.9</v>
      </c>
      <c r="N513">
        <v>100.6</v>
      </c>
      <c r="O513">
        <v>89.2</v>
      </c>
      <c r="P513">
        <v>106.6</v>
      </c>
      <c r="Q513">
        <v>95.4</v>
      </c>
      <c r="R513">
        <v>2996.2</v>
      </c>
    </row>
    <row r="514" spans="13:18" x14ac:dyDescent="0.25">
      <c r="M514">
        <v>134</v>
      </c>
      <c r="N514">
        <v>86</v>
      </c>
      <c r="O514">
        <v>143.30000000000001</v>
      </c>
      <c r="P514">
        <v>117.3</v>
      </c>
      <c r="Q514">
        <v>54.4</v>
      </c>
      <c r="R514">
        <v>3195.8</v>
      </c>
    </row>
    <row r="515" spans="13:18" x14ac:dyDescent="0.25">
      <c r="M515">
        <v>81</v>
      </c>
      <c r="N515">
        <v>104.4</v>
      </c>
      <c r="O515">
        <v>124.2</v>
      </c>
      <c r="P515">
        <v>130.69999999999999</v>
      </c>
      <c r="Q515">
        <v>95.1</v>
      </c>
      <c r="R515">
        <v>3547.9</v>
      </c>
    </row>
    <row r="516" spans="13:18" x14ac:dyDescent="0.25">
      <c r="M516">
        <v>78.400000000000006</v>
      </c>
      <c r="N516">
        <v>112.9</v>
      </c>
      <c r="O516">
        <v>133.5</v>
      </c>
      <c r="P516">
        <v>63.3</v>
      </c>
      <c r="Q516">
        <v>80.400000000000006</v>
      </c>
      <c r="R516">
        <v>2885.6</v>
      </c>
    </row>
    <row r="517" spans="13:18" x14ac:dyDescent="0.25">
      <c r="M517">
        <v>119.1</v>
      </c>
      <c r="N517">
        <v>84.9</v>
      </c>
      <c r="O517">
        <v>84.8</v>
      </c>
      <c r="P517">
        <v>102</v>
      </c>
      <c r="Q517">
        <v>67.7</v>
      </c>
      <c r="R517">
        <v>2642.8</v>
      </c>
    </row>
    <row r="518" spans="13:18" x14ac:dyDescent="0.25">
      <c r="M518">
        <v>108.6</v>
      </c>
      <c r="N518">
        <v>72.7</v>
      </c>
      <c r="O518">
        <v>61.5</v>
      </c>
      <c r="P518">
        <v>122.7</v>
      </c>
      <c r="Q518">
        <v>79.900000000000006</v>
      </c>
      <c r="R518">
        <v>2697.4</v>
      </c>
    </row>
    <row r="519" spans="13:18" x14ac:dyDescent="0.25">
      <c r="M519">
        <v>104.1</v>
      </c>
      <c r="N519">
        <v>53.6</v>
      </c>
      <c r="O519">
        <v>136.9</v>
      </c>
      <c r="P519">
        <v>75.5</v>
      </c>
      <c r="Q519">
        <v>70.3</v>
      </c>
      <c r="R519">
        <v>2787.4</v>
      </c>
    </row>
    <row r="520" spans="13:18" x14ac:dyDescent="0.25">
      <c r="M520">
        <v>99.7</v>
      </c>
      <c r="N520">
        <v>102.5</v>
      </c>
      <c r="O520">
        <v>123.9</v>
      </c>
      <c r="P520">
        <v>126.7</v>
      </c>
      <c r="Q520">
        <v>97.6</v>
      </c>
      <c r="R520">
        <v>3518.4</v>
      </c>
    </row>
    <row r="521" spans="13:18" x14ac:dyDescent="0.25">
      <c r="M521">
        <v>100.6</v>
      </c>
      <c r="N521">
        <v>54.9</v>
      </c>
      <c r="O521">
        <v>142.5</v>
      </c>
      <c r="P521">
        <v>71.900000000000006</v>
      </c>
      <c r="Q521">
        <v>51.3</v>
      </c>
      <c r="R521">
        <v>2644.3</v>
      </c>
    </row>
    <row r="522" spans="13:18" x14ac:dyDescent="0.25">
      <c r="M522">
        <v>50</v>
      </c>
      <c r="N522">
        <v>51.4</v>
      </c>
      <c r="O522">
        <v>123.5</v>
      </c>
      <c r="P522">
        <v>63.8</v>
      </c>
      <c r="Q522">
        <v>92.4</v>
      </c>
      <c r="R522">
        <v>2730.7</v>
      </c>
    </row>
    <row r="523" spans="13:18" x14ac:dyDescent="0.25">
      <c r="M523">
        <v>100.7</v>
      </c>
      <c r="N523">
        <v>80.099999999999994</v>
      </c>
      <c r="O523">
        <v>86.4</v>
      </c>
      <c r="P523">
        <v>116.6</v>
      </c>
      <c r="Q523">
        <v>102.1</v>
      </c>
      <c r="R523">
        <v>3061.7</v>
      </c>
    </row>
    <row r="524" spans="13:18" x14ac:dyDescent="0.25">
      <c r="M524">
        <v>145.80000000000001</v>
      </c>
      <c r="N524">
        <v>56.5</v>
      </c>
      <c r="O524">
        <v>58.8</v>
      </c>
      <c r="P524">
        <v>81.2</v>
      </c>
      <c r="Q524">
        <v>51.3</v>
      </c>
      <c r="R524">
        <v>1994.9</v>
      </c>
    </row>
    <row r="525" spans="13:18" x14ac:dyDescent="0.25">
      <c r="M525">
        <v>50.6</v>
      </c>
      <c r="N525">
        <v>106.7</v>
      </c>
      <c r="O525">
        <v>127.6</v>
      </c>
      <c r="P525">
        <v>103.9</v>
      </c>
      <c r="Q525">
        <v>134</v>
      </c>
      <c r="R525">
        <v>3657.1</v>
      </c>
    </row>
    <row r="526" spans="13:18" x14ac:dyDescent="0.25">
      <c r="M526">
        <v>149.69999999999999</v>
      </c>
      <c r="N526">
        <v>145.19999999999999</v>
      </c>
      <c r="O526">
        <v>137.4</v>
      </c>
      <c r="P526">
        <v>111.3</v>
      </c>
      <c r="Q526">
        <v>128.69999999999999</v>
      </c>
      <c r="R526">
        <v>3875.7</v>
      </c>
    </row>
    <row r="527" spans="13:18" x14ac:dyDescent="0.25">
      <c r="M527">
        <v>101.8</v>
      </c>
      <c r="N527">
        <v>62.2</v>
      </c>
      <c r="O527">
        <v>76.2</v>
      </c>
      <c r="P527">
        <v>86</v>
      </c>
      <c r="Q527">
        <v>79.2</v>
      </c>
      <c r="R527">
        <v>2436</v>
      </c>
    </row>
    <row r="528" spans="13:18" x14ac:dyDescent="0.25">
      <c r="M528">
        <v>115.3</v>
      </c>
      <c r="N528">
        <v>61.2</v>
      </c>
      <c r="O528">
        <v>115.6</v>
      </c>
      <c r="P528">
        <v>123.4</v>
      </c>
      <c r="Q528">
        <v>110.2</v>
      </c>
      <c r="R528">
        <v>3416.4</v>
      </c>
    </row>
    <row r="529" spans="13:18" x14ac:dyDescent="0.25">
      <c r="M529">
        <v>88.2</v>
      </c>
      <c r="N529">
        <v>113.1</v>
      </c>
      <c r="O529">
        <v>94.4</v>
      </c>
      <c r="P529">
        <v>87</v>
      </c>
      <c r="Q529">
        <v>117.9</v>
      </c>
      <c r="R529">
        <v>3085.7</v>
      </c>
    </row>
    <row r="530" spans="13:18" x14ac:dyDescent="0.25">
      <c r="M530">
        <v>125.7</v>
      </c>
      <c r="N530">
        <v>116.4</v>
      </c>
      <c r="O530">
        <v>62.4</v>
      </c>
      <c r="P530">
        <v>100.1</v>
      </c>
      <c r="Q530">
        <v>102</v>
      </c>
      <c r="R530">
        <v>2787.7</v>
      </c>
    </row>
    <row r="531" spans="13:18" x14ac:dyDescent="0.25">
      <c r="M531">
        <v>127.3</v>
      </c>
      <c r="N531">
        <v>79.5</v>
      </c>
      <c r="O531">
        <v>123.9</v>
      </c>
      <c r="P531">
        <v>142.30000000000001</v>
      </c>
      <c r="Q531">
        <v>129.4</v>
      </c>
      <c r="R531">
        <v>3871.5</v>
      </c>
    </row>
    <row r="532" spans="13:18" x14ac:dyDescent="0.25">
      <c r="M532">
        <v>58.2</v>
      </c>
      <c r="N532">
        <v>67.099999999999994</v>
      </c>
      <c r="O532">
        <v>148.30000000000001</v>
      </c>
      <c r="P532">
        <v>139</v>
      </c>
      <c r="Q532">
        <v>144.69999999999999</v>
      </c>
      <c r="R532">
        <v>4148.8</v>
      </c>
    </row>
    <row r="533" spans="13:18" x14ac:dyDescent="0.25">
      <c r="M533">
        <v>146.80000000000001</v>
      </c>
      <c r="N533">
        <v>73.400000000000006</v>
      </c>
      <c r="O533">
        <v>136.4</v>
      </c>
      <c r="P533">
        <v>62</v>
      </c>
      <c r="Q533">
        <v>69</v>
      </c>
      <c r="R533">
        <v>2699.2</v>
      </c>
    </row>
    <row r="534" spans="13:18" x14ac:dyDescent="0.25">
      <c r="M534">
        <v>72.599999999999994</v>
      </c>
      <c r="N534">
        <v>116</v>
      </c>
      <c r="O534">
        <v>59.6</v>
      </c>
      <c r="P534">
        <v>79.099999999999994</v>
      </c>
      <c r="Q534">
        <v>52.3</v>
      </c>
      <c r="R534">
        <v>2147.8000000000002</v>
      </c>
    </row>
    <row r="535" spans="13:18" x14ac:dyDescent="0.25">
      <c r="M535">
        <v>136.19999999999999</v>
      </c>
      <c r="N535">
        <v>63.4</v>
      </c>
      <c r="O535">
        <v>111.2</v>
      </c>
      <c r="P535">
        <v>120.7</v>
      </c>
      <c r="Q535">
        <v>69.5</v>
      </c>
      <c r="R535">
        <v>3010.1</v>
      </c>
    </row>
    <row r="536" spans="13:18" x14ac:dyDescent="0.25">
      <c r="M536">
        <v>126</v>
      </c>
      <c r="N536">
        <v>138.5</v>
      </c>
      <c r="O536">
        <v>137.30000000000001</v>
      </c>
      <c r="P536">
        <v>52.6</v>
      </c>
      <c r="Q536">
        <v>76.7</v>
      </c>
      <c r="R536">
        <v>2862.3</v>
      </c>
    </row>
    <row r="537" spans="13:18" x14ac:dyDescent="0.25">
      <c r="M537">
        <v>123.5</v>
      </c>
      <c r="N537">
        <v>63.3</v>
      </c>
      <c r="O537">
        <v>136</v>
      </c>
      <c r="P537">
        <v>71.099999999999994</v>
      </c>
      <c r="Q537">
        <v>67.599999999999994</v>
      </c>
      <c r="R537">
        <v>2746.1</v>
      </c>
    </row>
    <row r="538" spans="13:18" x14ac:dyDescent="0.25">
      <c r="M538">
        <v>111.5</v>
      </c>
      <c r="N538">
        <v>134.4</v>
      </c>
      <c r="O538">
        <v>141.4</v>
      </c>
      <c r="P538">
        <v>61.2</v>
      </c>
      <c r="Q538">
        <v>96.1</v>
      </c>
      <c r="R538">
        <v>3126.9</v>
      </c>
    </row>
    <row r="539" spans="13:18" x14ac:dyDescent="0.25">
      <c r="M539">
        <v>76.599999999999994</v>
      </c>
      <c r="N539">
        <v>146.6</v>
      </c>
      <c r="O539">
        <v>133.80000000000001</v>
      </c>
      <c r="P539">
        <v>83.1</v>
      </c>
      <c r="Q539">
        <v>55.5</v>
      </c>
      <c r="R539">
        <v>2958.2</v>
      </c>
    </row>
    <row r="540" spans="13:18" x14ac:dyDescent="0.25">
      <c r="M540">
        <v>122.1</v>
      </c>
      <c r="N540">
        <v>104.2</v>
      </c>
      <c r="O540">
        <v>139.80000000000001</v>
      </c>
      <c r="P540">
        <v>77.900000000000006</v>
      </c>
      <c r="Q540">
        <v>129.69999999999999</v>
      </c>
      <c r="R540">
        <v>3474.2</v>
      </c>
    </row>
    <row r="541" spans="13:18" x14ac:dyDescent="0.25">
      <c r="M541">
        <v>129.9</v>
      </c>
      <c r="N541">
        <v>85.3</v>
      </c>
      <c r="O541">
        <v>114.7</v>
      </c>
      <c r="P541">
        <v>108</v>
      </c>
      <c r="Q541">
        <v>57.7</v>
      </c>
      <c r="R541">
        <v>2875</v>
      </c>
    </row>
    <row r="542" spans="13:18" x14ac:dyDescent="0.25">
      <c r="M542">
        <v>140.1</v>
      </c>
      <c r="N542">
        <v>51</v>
      </c>
      <c r="O542">
        <v>122.2</v>
      </c>
      <c r="P542">
        <v>73.3</v>
      </c>
      <c r="Q542">
        <v>76.3</v>
      </c>
      <c r="R542">
        <v>2680.9</v>
      </c>
    </row>
    <row r="543" spans="13:18" x14ac:dyDescent="0.25">
      <c r="M543">
        <v>135.80000000000001</v>
      </c>
      <c r="N543">
        <v>113.8</v>
      </c>
      <c r="O543">
        <v>51.7</v>
      </c>
      <c r="P543">
        <v>67.7</v>
      </c>
      <c r="Q543">
        <v>132.30000000000001</v>
      </c>
      <c r="R543">
        <v>2642.6</v>
      </c>
    </row>
    <row r="544" spans="13:18" x14ac:dyDescent="0.25">
      <c r="M544">
        <v>51</v>
      </c>
      <c r="N544">
        <v>106.7</v>
      </c>
      <c r="O544">
        <v>139.4</v>
      </c>
      <c r="P544">
        <v>67.599999999999994</v>
      </c>
      <c r="Q544">
        <v>78.7</v>
      </c>
      <c r="R544">
        <v>2953</v>
      </c>
    </row>
    <row r="545" spans="13:18" x14ac:dyDescent="0.25">
      <c r="M545">
        <v>141.30000000000001</v>
      </c>
      <c r="N545">
        <v>118.3</v>
      </c>
      <c r="O545">
        <v>83.1</v>
      </c>
      <c r="P545">
        <v>68.2</v>
      </c>
      <c r="Q545">
        <v>97.6</v>
      </c>
      <c r="R545">
        <v>2647.9</v>
      </c>
    </row>
    <row r="546" spans="13:18" x14ac:dyDescent="0.25">
      <c r="M546">
        <v>82.7</v>
      </c>
      <c r="N546">
        <v>84.1</v>
      </c>
      <c r="O546">
        <v>67.400000000000006</v>
      </c>
      <c r="P546">
        <v>106.6</v>
      </c>
      <c r="Q546">
        <v>112.6</v>
      </c>
      <c r="R546">
        <v>2910.1</v>
      </c>
    </row>
    <row r="547" spans="13:18" x14ac:dyDescent="0.25">
      <c r="M547">
        <v>89.8</v>
      </c>
      <c r="N547">
        <v>50.7</v>
      </c>
      <c r="O547">
        <v>138.6</v>
      </c>
      <c r="P547">
        <v>139.4</v>
      </c>
      <c r="Q547">
        <v>83.9</v>
      </c>
      <c r="R547">
        <v>3511.9</v>
      </c>
    </row>
    <row r="548" spans="13:18" x14ac:dyDescent="0.25">
      <c r="M548">
        <v>69.2</v>
      </c>
      <c r="N548">
        <v>52.7</v>
      </c>
      <c r="O548">
        <v>96.3</v>
      </c>
      <c r="P548">
        <v>63.7</v>
      </c>
      <c r="Q548">
        <v>100.4</v>
      </c>
      <c r="R548">
        <v>2563.9</v>
      </c>
    </row>
    <row r="549" spans="13:18" x14ac:dyDescent="0.25">
      <c r="M549">
        <v>147.30000000000001</v>
      </c>
      <c r="N549">
        <v>67.8</v>
      </c>
      <c r="O549">
        <v>91</v>
      </c>
      <c r="P549">
        <v>98.6</v>
      </c>
      <c r="Q549">
        <v>109.7</v>
      </c>
      <c r="R549">
        <v>2962.3</v>
      </c>
    </row>
    <row r="550" spans="13:18" x14ac:dyDescent="0.25">
      <c r="M550">
        <v>140.1</v>
      </c>
      <c r="N550">
        <v>141.19999999999999</v>
      </c>
      <c r="O550">
        <v>144.4</v>
      </c>
      <c r="P550">
        <v>66.2</v>
      </c>
      <c r="Q550">
        <v>51</v>
      </c>
      <c r="R550">
        <v>2836.1</v>
      </c>
    </row>
    <row r="551" spans="13:18" x14ac:dyDescent="0.25">
      <c r="M551">
        <v>54.1</v>
      </c>
      <c r="N551">
        <v>95</v>
      </c>
      <c r="O551">
        <v>132.5</v>
      </c>
      <c r="P551">
        <v>139.69999999999999</v>
      </c>
      <c r="Q551">
        <v>83.4</v>
      </c>
      <c r="R551">
        <v>3577.3</v>
      </c>
    </row>
    <row r="552" spans="13:18" x14ac:dyDescent="0.25">
      <c r="M552">
        <v>134.4</v>
      </c>
      <c r="N552">
        <v>63</v>
      </c>
      <c r="O552">
        <v>97.2</v>
      </c>
      <c r="P552">
        <v>147.1</v>
      </c>
      <c r="Q552">
        <v>123</v>
      </c>
      <c r="R552">
        <v>3578.8</v>
      </c>
    </row>
    <row r="553" spans="13:18" x14ac:dyDescent="0.25">
      <c r="M553">
        <v>101.4</v>
      </c>
      <c r="N553">
        <v>115.9</v>
      </c>
      <c r="O553">
        <v>76.900000000000006</v>
      </c>
      <c r="P553">
        <v>147.6</v>
      </c>
      <c r="Q553">
        <v>130.19999999999999</v>
      </c>
      <c r="R553">
        <v>3616.4</v>
      </c>
    </row>
    <row r="554" spans="13:18" x14ac:dyDescent="0.25">
      <c r="M554">
        <v>139.69999999999999</v>
      </c>
      <c r="N554">
        <v>68.8</v>
      </c>
      <c r="O554">
        <v>71.900000000000006</v>
      </c>
      <c r="P554">
        <v>121.3</v>
      </c>
      <c r="Q554">
        <v>114.3</v>
      </c>
      <c r="R554">
        <v>3061.4</v>
      </c>
    </row>
    <row r="555" spans="13:18" x14ac:dyDescent="0.25">
      <c r="M555">
        <v>132.9</v>
      </c>
      <c r="N555">
        <v>85.8</v>
      </c>
      <c r="O555">
        <v>85.4</v>
      </c>
      <c r="P555">
        <v>136.69999999999999</v>
      </c>
      <c r="Q555">
        <v>143.1</v>
      </c>
      <c r="R555">
        <v>3605.3</v>
      </c>
    </row>
    <row r="556" spans="13:18" x14ac:dyDescent="0.25">
      <c r="M556">
        <v>56.2</v>
      </c>
      <c r="N556">
        <v>122.4</v>
      </c>
      <c r="O556">
        <v>105.6</v>
      </c>
      <c r="P556">
        <v>87.7</v>
      </c>
      <c r="Q556">
        <v>76.099999999999994</v>
      </c>
      <c r="R556">
        <v>2860.1</v>
      </c>
    </row>
    <row r="557" spans="13:18" x14ac:dyDescent="0.25">
      <c r="M557">
        <v>71.2</v>
      </c>
      <c r="N557">
        <v>71.3</v>
      </c>
      <c r="O557">
        <v>118.7</v>
      </c>
      <c r="P557">
        <v>115.3</v>
      </c>
      <c r="Q557">
        <v>59.7</v>
      </c>
      <c r="R557">
        <v>2959.9</v>
      </c>
    </row>
    <row r="558" spans="13:18" x14ac:dyDescent="0.25">
      <c r="M558">
        <v>85.5</v>
      </c>
      <c r="N558">
        <v>102.6</v>
      </c>
      <c r="O558">
        <v>70.3</v>
      </c>
      <c r="P558">
        <v>55.1</v>
      </c>
      <c r="Q558">
        <v>51.7</v>
      </c>
      <c r="R558">
        <v>1988.1</v>
      </c>
    </row>
    <row r="559" spans="13:18" x14ac:dyDescent="0.25">
      <c r="M559">
        <v>69.599999999999994</v>
      </c>
      <c r="N559">
        <v>113.8</v>
      </c>
      <c r="O559">
        <v>113.4</v>
      </c>
      <c r="P559">
        <v>74.8</v>
      </c>
      <c r="Q559">
        <v>64.099999999999994</v>
      </c>
      <c r="R559">
        <v>2679.3</v>
      </c>
    </row>
    <row r="560" spans="13:18" x14ac:dyDescent="0.25">
      <c r="M560">
        <v>145.4</v>
      </c>
      <c r="N560">
        <v>129.80000000000001</v>
      </c>
      <c r="O560">
        <v>111.3</v>
      </c>
      <c r="P560">
        <v>94.5</v>
      </c>
      <c r="Q560">
        <v>141</v>
      </c>
      <c r="R560">
        <v>3536.8</v>
      </c>
    </row>
    <row r="561" spans="13:18" x14ac:dyDescent="0.25">
      <c r="M561">
        <v>88.4</v>
      </c>
      <c r="N561">
        <v>119.1</v>
      </c>
      <c r="O561">
        <v>83.3</v>
      </c>
      <c r="P561">
        <v>103.4</v>
      </c>
      <c r="Q561">
        <v>112.7</v>
      </c>
      <c r="R561">
        <v>3107.7</v>
      </c>
    </row>
    <row r="562" spans="13:18" x14ac:dyDescent="0.25">
      <c r="M562">
        <v>108</v>
      </c>
      <c r="N562">
        <v>117.2</v>
      </c>
      <c r="O562">
        <v>111.5</v>
      </c>
      <c r="P562">
        <v>114.9</v>
      </c>
      <c r="Q562">
        <v>89.2</v>
      </c>
      <c r="R562">
        <v>3253.8</v>
      </c>
    </row>
    <row r="563" spans="13:18" x14ac:dyDescent="0.25">
      <c r="M563">
        <v>96.7</v>
      </c>
      <c r="N563">
        <v>71.2</v>
      </c>
      <c r="O563">
        <v>146.5</v>
      </c>
      <c r="P563">
        <v>125.3</v>
      </c>
      <c r="Q563">
        <v>86.6</v>
      </c>
      <c r="R563">
        <v>3534.1</v>
      </c>
    </row>
    <row r="564" spans="13:18" x14ac:dyDescent="0.25">
      <c r="M564">
        <v>64.599999999999994</v>
      </c>
      <c r="N564">
        <v>148</v>
      </c>
      <c r="O564">
        <v>80.7</v>
      </c>
      <c r="P564">
        <v>65.599999999999994</v>
      </c>
      <c r="Q564">
        <v>100.7</v>
      </c>
      <c r="R564">
        <v>2705</v>
      </c>
    </row>
    <row r="565" spans="13:18" x14ac:dyDescent="0.25">
      <c r="M565">
        <v>98.8</v>
      </c>
      <c r="N565">
        <v>71.2</v>
      </c>
      <c r="O565">
        <v>76.599999999999994</v>
      </c>
      <c r="P565">
        <v>64.900000000000006</v>
      </c>
      <c r="Q565">
        <v>67.7</v>
      </c>
      <c r="R565">
        <v>2177.6999999999998</v>
      </c>
    </row>
    <row r="566" spans="13:18" x14ac:dyDescent="0.25">
      <c r="M566">
        <v>114.3</v>
      </c>
      <c r="N566">
        <v>76.3</v>
      </c>
      <c r="O566">
        <v>69</v>
      </c>
      <c r="P566">
        <v>62.2</v>
      </c>
      <c r="Q566">
        <v>79</v>
      </c>
      <c r="R566">
        <v>2188.9</v>
      </c>
    </row>
    <row r="567" spans="13:18" x14ac:dyDescent="0.25">
      <c r="M567">
        <v>85.9</v>
      </c>
      <c r="N567">
        <v>101.7</v>
      </c>
      <c r="O567">
        <v>79.099999999999994</v>
      </c>
      <c r="P567">
        <v>135.80000000000001</v>
      </c>
      <c r="Q567">
        <v>140.19999999999999</v>
      </c>
      <c r="R567">
        <v>3563.7</v>
      </c>
    </row>
    <row r="568" spans="13:18" x14ac:dyDescent="0.25">
      <c r="M568">
        <v>78</v>
      </c>
      <c r="N568">
        <v>54.2</v>
      </c>
      <c r="O568">
        <v>106.8</v>
      </c>
      <c r="P568">
        <v>138.30000000000001</v>
      </c>
      <c r="Q568">
        <v>89.6</v>
      </c>
      <c r="R568">
        <v>3275.3</v>
      </c>
    </row>
    <row r="569" spans="13:18" x14ac:dyDescent="0.25">
      <c r="M569">
        <v>112.3</v>
      </c>
      <c r="N569">
        <v>115.8</v>
      </c>
      <c r="O569">
        <v>93.4</v>
      </c>
      <c r="P569">
        <v>54.6</v>
      </c>
      <c r="Q569">
        <v>117.3</v>
      </c>
      <c r="R569">
        <v>2758.2</v>
      </c>
    </row>
    <row r="570" spans="13:18" x14ac:dyDescent="0.25">
      <c r="M570">
        <v>137.9</v>
      </c>
      <c r="N570">
        <v>82.7</v>
      </c>
      <c r="O570">
        <v>67.900000000000006</v>
      </c>
      <c r="P570">
        <v>122.3</v>
      </c>
      <c r="Q570">
        <v>50.1</v>
      </c>
      <c r="R570">
        <v>2526.4</v>
      </c>
    </row>
    <row r="571" spans="13:18" x14ac:dyDescent="0.25">
      <c r="M571">
        <v>97.5</v>
      </c>
      <c r="N571">
        <v>50.8</v>
      </c>
      <c r="O571">
        <v>119.2</v>
      </c>
      <c r="P571">
        <v>80.599999999999994</v>
      </c>
      <c r="Q571">
        <v>93</v>
      </c>
      <c r="R571">
        <v>2870</v>
      </c>
    </row>
    <row r="572" spans="13:18" x14ac:dyDescent="0.25">
      <c r="M572">
        <v>101.2</v>
      </c>
      <c r="N572">
        <v>89.3</v>
      </c>
      <c r="O572">
        <v>59.3</v>
      </c>
      <c r="P572">
        <v>138.69999999999999</v>
      </c>
      <c r="Q572">
        <v>143.6</v>
      </c>
      <c r="R572">
        <v>3408</v>
      </c>
    </row>
    <row r="573" spans="13:18" x14ac:dyDescent="0.25">
      <c r="M573">
        <v>52.5</v>
      </c>
      <c r="N573">
        <v>67.900000000000006</v>
      </c>
      <c r="O573">
        <v>68</v>
      </c>
      <c r="P573">
        <v>78.900000000000006</v>
      </c>
      <c r="Q573">
        <v>118.3</v>
      </c>
      <c r="R573">
        <v>2660.9</v>
      </c>
    </row>
    <row r="574" spans="13:18" x14ac:dyDescent="0.25">
      <c r="M574">
        <v>89.2</v>
      </c>
      <c r="N574">
        <v>128.30000000000001</v>
      </c>
      <c r="O574">
        <v>134.80000000000001</v>
      </c>
      <c r="P574">
        <v>134.80000000000001</v>
      </c>
      <c r="Q574">
        <v>58</v>
      </c>
      <c r="R574">
        <v>3429.2</v>
      </c>
    </row>
    <row r="575" spans="13:18" x14ac:dyDescent="0.25">
      <c r="M575">
        <v>131.4</v>
      </c>
      <c r="N575">
        <v>115.4</v>
      </c>
      <c r="O575">
        <v>139.4</v>
      </c>
      <c r="P575">
        <v>110.5</v>
      </c>
      <c r="Q575">
        <v>102.7</v>
      </c>
      <c r="R575">
        <v>3588</v>
      </c>
    </row>
    <row r="576" spans="13:18" x14ac:dyDescent="0.25">
      <c r="M576">
        <v>51.5</v>
      </c>
      <c r="N576">
        <v>108.5</v>
      </c>
      <c r="O576">
        <v>134.30000000000001</v>
      </c>
      <c r="P576">
        <v>132.1</v>
      </c>
      <c r="Q576">
        <v>50.3</v>
      </c>
      <c r="R576">
        <v>3285.5</v>
      </c>
    </row>
    <row r="577" spans="13:18" x14ac:dyDescent="0.25">
      <c r="M577">
        <v>107.6</v>
      </c>
      <c r="N577">
        <v>118.8</v>
      </c>
      <c r="O577">
        <v>123.2</v>
      </c>
      <c r="P577">
        <v>145.6</v>
      </c>
      <c r="Q577">
        <v>141.30000000000001</v>
      </c>
      <c r="R577">
        <v>4100</v>
      </c>
    </row>
    <row r="578" spans="13:18" x14ac:dyDescent="0.25">
      <c r="M578">
        <v>104.9</v>
      </c>
      <c r="N578">
        <v>143.9</v>
      </c>
      <c r="O578">
        <v>147.80000000000001</v>
      </c>
      <c r="P578">
        <v>103.1</v>
      </c>
      <c r="Q578">
        <v>134.9</v>
      </c>
      <c r="R578">
        <v>3942.6</v>
      </c>
    </row>
    <row r="579" spans="13:18" x14ac:dyDescent="0.25">
      <c r="M579">
        <v>76.099999999999994</v>
      </c>
      <c r="N579">
        <v>94</v>
      </c>
      <c r="O579">
        <v>125.8</v>
      </c>
      <c r="P579">
        <v>102.9</v>
      </c>
      <c r="Q579">
        <v>65.8</v>
      </c>
      <c r="R579">
        <v>3016.5</v>
      </c>
    </row>
    <row r="580" spans="13:18" x14ac:dyDescent="0.25">
      <c r="M580">
        <v>97.6</v>
      </c>
      <c r="N580">
        <v>131</v>
      </c>
      <c r="O580">
        <v>104.5</v>
      </c>
      <c r="P580">
        <v>72.8</v>
      </c>
      <c r="Q580">
        <v>98.7</v>
      </c>
      <c r="R580">
        <v>2926</v>
      </c>
    </row>
    <row r="581" spans="13:18" x14ac:dyDescent="0.25">
      <c r="M581">
        <v>79.5</v>
      </c>
      <c r="N581">
        <v>86.7</v>
      </c>
      <c r="O581">
        <v>121.4</v>
      </c>
      <c r="P581">
        <v>114</v>
      </c>
      <c r="Q581">
        <v>121.2</v>
      </c>
      <c r="R581">
        <v>3526.5</v>
      </c>
    </row>
    <row r="582" spans="13:18" x14ac:dyDescent="0.25">
      <c r="M582">
        <v>98.2</v>
      </c>
      <c r="N582">
        <v>149.6</v>
      </c>
      <c r="O582">
        <v>86.7</v>
      </c>
      <c r="P582">
        <v>145.1</v>
      </c>
      <c r="Q582">
        <v>139.4</v>
      </c>
      <c r="R582">
        <v>3837.3</v>
      </c>
    </row>
    <row r="583" spans="13:18" x14ac:dyDescent="0.25">
      <c r="M583">
        <v>59.6</v>
      </c>
      <c r="N583">
        <v>136.6</v>
      </c>
      <c r="O583">
        <v>129</v>
      </c>
      <c r="P583">
        <v>111.9</v>
      </c>
      <c r="Q583">
        <v>67.8</v>
      </c>
      <c r="R583">
        <v>3267.2</v>
      </c>
    </row>
    <row r="584" spans="13:18" x14ac:dyDescent="0.25">
      <c r="M584">
        <v>109.9</v>
      </c>
      <c r="N584">
        <v>90</v>
      </c>
      <c r="O584">
        <v>69.099999999999994</v>
      </c>
      <c r="P584">
        <v>54.3</v>
      </c>
      <c r="Q584">
        <v>129.69999999999999</v>
      </c>
      <c r="R584">
        <v>2586.3000000000002</v>
      </c>
    </row>
    <row r="585" spans="13:18" x14ac:dyDescent="0.25">
      <c r="M585">
        <v>134.30000000000001</v>
      </c>
      <c r="N585">
        <v>66.099999999999994</v>
      </c>
      <c r="O585">
        <v>113.7</v>
      </c>
      <c r="P585">
        <v>145.30000000000001</v>
      </c>
      <c r="Q585">
        <v>107</v>
      </c>
      <c r="R585">
        <v>3585.8</v>
      </c>
    </row>
    <row r="586" spans="13:18" x14ac:dyDescent="0.25">
      <c r="M586">
        <v>109.2</v>
      </c>
      <c r="N586">
        <v>104.3</v>
      </c>
      <c r="O586">
        <v>82.8</v>
      </c>
      <c r="P586">
        <v>142.19999999999999</v>
      </c>
      <c r="Q586">
        <v>106.6</v>
      </c>
      <c r="R586">
        <v>3381.3</v>
      </c>
    </row>
    <row r="587" spans="13:18" x14ac:dyDescent="0.25">
      <c r="M587">
        <v>98.7</v>
      </c>
      <c r="N587">
        <v>94.8</v>
      </c>
      <c r="O587">
        <v>113.4</v>
      </c>
      <c r="P587">
        <v>117.8</v>
      </c>
      <c r="Q587">
        <v>133.4</v>
      </c>
      <c r="R587">
        <v>3617.4</v>
      </c>
    </row>
    <row r="588" spans="13:18" x14ac:dyDescent="0.25">
      <c r="M588">
        <v>110.4</v>
      </c>
      <c r="N588">
        <v>82.9</v>
      </c>
      <c r="O588">
        <v>104.1</v>
      </c>
      <c r="P588">
        <v>59.1</v>
      </c>
      <c r="Q588">
        <v>85.3</v>
      </c>
      <c r="R588">
        <v>2544.8000000000002</v>
      </c>
    </row>
    <row r="589" spans="13:18" x14ac:dyDescent="0.25">
      <c r="M589">
        <v>52.1</v>
      </c>
      <c r="N589">
        <v>78.099999999999994</v>
      </c>
      <c r="O589">
        <v>90.4</v>
      </c>
      <c r="P589">
        <v>51.9</v>
      </c>
      <c r="Q589">
        <v>111.4</v>
      </c>
      <c r="R589">
        <v>2558.9</v>
      </c>
    </row>
    <row r="590" spans="13:18" x14ac:dyDescent="0.25">
      <c r="M590">
        <v>54.3</v>
      </c>
      <c r="N590">
        <v>56.2</v>
      </c>
      <c r="O590">
        <v>68.900000000000006</v>
      </c>
      <c r="P590">
        <v>90.4</v>
      </c>
      <c r="Q590">
        <v>98.3</v>
      </c>
      <c r="R590">
        <v>2566.1</v>
      </c>
    </row>
    <row r="591" spans="13:18" x14ac:dyDescent="0.25">
      <c r="M591">
        <v>149.19999999999999</v>
      </c>
      <c r="N591">
        <v>71.8</v>
      </c>
      <c r="O591">
        <v>107.7</v>
      </c>
      <c r="P591">
        <v>77.8</v>
      </c>
      <c r="Q591">
        <v>76.400000000000006</v>
      </c>
      <c r="R591">
        <v>2649.8</v>
      </c>
    </row>
    <row r="592" spans="13:18" x14ac:dyDescent="0.25">
      <c r="M592">
        <v>122.5</v>
      </c>
      <c r="N592">
        <v>121</v>
      </c>
      <c r="O592">
        <v>111.7</v>
      </c>
      <c r="P592">
        <v>108.6</v>
      </c>
      <c r="Q592">
        <v>59.5</v>
      </c>
      <c r="R592">
        <v>2967.9</v>
      </c>
    </row>
    <row r="593" spans="13:18" x14ac:dyDescent="0.25">
      <c r="M593">
        <v>77</v>
      </c>
      <c r="N593">
        <v>120.5</v>
      </c>
      <c r="O593">
        <v>130.9</v>
      </c>
      <c r="P593">
        <v>147.9</v>
      </c>
      <c r="Q593">
        <v>61.5</v>
      </c>
      <c r="R593">
        <v>3529.1</v>
      </c>
    </row>
    <row r="594" spans="13:18" x14ac:dyDescent="0.25">
      <c r="M594">
        <v>76.400000000000006</v>
      </c>
      <c r="N594">
        <v>92.4</v>
      </c>
      <c r="O594">
        <v>129.5</v>
      </c>
      <c r="P594">
        <v>149.4</v>
      </c>
      <c r="Q594">
        <v>53</v>
      </c>
      <c r="R594">
        <v>3387.1</v>
      </c>
    </row>
    <row r="595" spans="13:18" x14ac:dyDescent="0.25">
      <c r="M595">
        <v>56.2</v>
      </c>
      <c r="N595">
        <v>72.3</v>
      </c>
      <c r="O595">
        <v>54.5</v>
      </c>
      <c r="P595">
        <v>75.599999999999994</v>
      </c>
      <c r="Q595">
        <v>149.4</v>
      </c>
      <c r="R595">
        <v>2766.6</v>
      </c>
    </row>
    <row r="596" spans="13:18" x14ac:dyDescent="0.25">
      <c r="M596">
        <v>121.2</v>
      </c>
      <c r="N596">
        <v>79.8</v>
      </c>
      <c r="O596">
        <v>70.900000000000006</v>
      </c>
      <c r="P596">
        <v>113.5</v>
      </c>
      <c r="Q596">
        <v>147.5</v>
      </c>
      <c r="R596">
        <v>3280.2</v>
      </c>
    </row>
    <row r="597" spans="13:18" x14ac:dyDescent="0.25">
      <c r="M597">
        <v>67.400000000000006</v>
      </c>
      <c r="N597">
        <v>117.5</v>
      </c>
      <c r="O597">
        <v>53.6</v>
      </c>
      <c r="P597">
        <v>99.1</v>
      </c>
      <c r="Q597">
        <v>148.5</v>
      </c>
      <c r="R597">
        <v>3098.4</v>
      </c>
    </row>
    <row r="598" spans="13:18" x14ac:dyDescent="0.25">
      <c r="M598">
        <v>95.1</v>
      </c>
      <c r="N598">
        <v>89.1</v>
      </c>
      <c r="O598">
        <v>50.5</v>
      </c>
      <c r="P598">
        <v>93</v>
      </c>
      <c r="Q598">
        <v>135.4</v>
      </c>
      <c r="R598">
        <v>2831.4</v>
      </c>
    </row>
    <row r="599" spans="13:18" x14ac:dyDescent="0.25">
      <c r="M599">
        <v>103.6</v>
      </c>
      <c r="N599">
        <v>52.7</v>
      </c>
      <c r="O599">
        <v>60.4</v>
      </c>
      <c r="P599">
        <v>71.2</v>
      </c>
      <c r="Q599">
        <v>94.5</v>
      </c>
      <c r="R599">
        <v>2273.6</v>
      </c>
    </row>
    <row r="600" spans="13:18" x14ac:dyDescent="0.25">
      <c r="M600">
        <v>83.2</v>
      </c>
      <c r="N600">
        <v>148.80000000000001</v>
      </c>
      <c r="O600">
        <v>87.4</v>
      </c>
      <c r="P600">
        <v>123.3</v>
      </c>
      <c r="Q600">
        <v>96.3</v>
      </c>
      <c r="R600">
        <v>3274.7</v>
      </c>
    </row>
    <row r="601" spans="13:18" x14ac:dyDescent="0.25">
      <c r="M601">
        <v>145.6</v>
      </c>
      <c r="N601">
        <v>69.900000000000006</v>
      </c>
      <c r="O601">
        <v>65.8</v>
      </c>
      <c r="P601">
        <v>72.7</v>
      </c>
      <c r="Q601">
        <v>77.3</v>
      </c>
      <c r="R601">
        <v>2226.3000000000002</v>
      </c>
    </row>
    <row r="602" spans="13:18" x14ac:dyDescent="0.25">
      <c r="M602">
        <v>56.7</v>
      </c>
      <c r="N602">
        <v>61.7</v>
      </c>
      <c r="O602">
        <v>69.5</v>
      </c>
      <c r="P602">
        <v>59.3</v>
      </c>
      <c r="Q602">
        <v>87</v>
      </c>
      <c r="R602">
        <v>2203.8000000000002</v>
      </c>
    </row>
    <row r="603" spans="13:18" x14ac:dyDescent="0.25">
      <c r="M603">
        <v>64.599999999999994</v>
      </c>
      <c r="N603">
        <v>70.8</v>
      </c>
      <c r="O603">
        <v>146.1</v>
      </c>
      <c r="P603">
        <v>51.6</v>
      </c>
      <c r="Q603">
        <v>92.4</v>
      </c>
      <c r="R603">
        <v>2877.1</v>
      </c>
    </row>
    <row r="604" spans="13:18" x14ac:dyDescent="0.25">
      <c r="M604">
        <v>136.69999999999999</v>
      </c>
      <c r="N604">
        <v>81.5</v>
      </c>
      <c r="O604">
        <v>143</v>
      </c>
      <c r="P604">
        <v>77</v>
      </c>
      <c r="Q604">
        <v>54.4</v>
      </c>
      <c r="R604">
        <v>2806.1</v>
      </c>
    </row>
    <row r="605" spans="13:18" x14ac:dyDescent="0.25">
      <c r="M605">
        <v>147.9</v>
      </c>
      <c r="N605">
        <v>105.2</v>
      </c>
      <c r="O605">
        <v>114.3</v>
      </c>
      <c r="P605">
        <v>87.4</v>
      </c>
      <c r="Q605">
        <v>117.2</v>
      </c>
      <c r="R605">
        <v>3241</v>
      </c>
    </row>
    <row r="606" spans="13:18" x14ac:dyDescent="0.25">
      <c r="M606">
        <v>83.8</v>
      </c>
      <c r="N606">
        <v>114.4</v>
      </c>
      <c r="O606">
        <v>125.7</v>
      </c>
      <c r="P606">
        <v>100.2</v>
      </c>
      <c r="Q606">
        <v>75.8</v>
      </c>
      <c r="R606">
        <v>3134.1</v>
      </c>
    </row>
    <row r="607" spans="13:18" x14ac:dyDescent="0.25">
      <c r="M607">
        <v>51.3</v>
      </c>
      <c r="N607">
        <v>135.9</v>
      </c>
      <c r="O607">
        <v>96.6</v>
      </c>
      <c r="P607">
        <v>80</v>
      </c>
      <c r="Q607">
        <v>113.1</v>
      </c>
      <c r="R607">
        <v>3052.9</v>
      </c>
    </row>
    <row r="608" spans="13:18" x14ac:dyDescent="0.25">
      <c r="M608">
        <v>111.4</v>
      </c>
      <c r="N608">
        <v>145.5</v>
      </c>
      <c r="O608">
        <v>146.5</v>
      </c>
      <c r="P608">
        <v>52.1</v>
      </c>
      <c r="Q608">
        <v>121.9</v>
      </c>
      <c r="R608">
        <v>3341.1</v>
      </c>
    </row>
    <row r="609" spans="13:18" x14ac:dyDescent="0.25">
      <c r="M609">
        <v>74.8</v>
      </c>
      <c r="N609">
        <v>127.3</v>
      </c>
      <c r="O609">
        <v>134.5</v>
      </c>
      <c r="P609">
        <v>63.6</v>
      </c>
      <c r="Q609">
        <v>51.5</v>
      </c>
      <c r="R609">
        <v>2698.3</v>
      </c>
    </row>
    <row r="610" spans="13:18" x14ac:dyDescent="0.25">
      <c r="M610">
        <v>125.6</v>
      </c>
      <c r="N610">
        <v>90.7</v>
      </c>
      <c r="O610">
        <v>109.6</v>
      </c>
      <c r="P610">
        <v>131.80000000000001</v>
      </c>
      <c r="Q610">
        <v>146.4</v>
      </c>
      <c r="R610">
        <v>3818.2</v>
      </c>
    </row>
    <row r="611" spans="13:18" x14ac:dyDescent="0.25">
      <c r="M611">
        <v>64.900000000000006</v>
      </c>
      <c r="N611">
        <v>59.2</v>
      </c>
      <c r="O611">
        <v>110.7</v>
      </c>
      <c r="P611">
        <v>146.30000000000001</v>
      </c>
      <c r="Q611">
        <v>65.7</v>
      </c>
      <c r="R611">
        <v>3202.9</v>
      </c>
    </row>
    <row r="612" spans="13:18" x14ac:dyDescent="0.25">
      <c r="M612">
        <v>88.6</v>
      </c>
      <c r="N612">
        <v>72.599999999999994</v>
      </c>
      <c r="O612">
        <v>83.1</v>
      </c>
      <c r="P612">
        <v>115.6</v>
      </c>
      <c r="Q612">
        <v>100.2</v>
      </c>
      <c r="R612">
        <v>2988.7</v>
      </c>
    </row>
    <row r="613" spans="13:18" x14ac:dyDescent="0.25">
      <c r="M613">
        <v>140.69999999999999</v>
      </c>
      <c r="N613">
        <v>66.7</v>
      </c>
      <c r="O613">
        <v>101.2</v>
      </c>
      <c r="P613">
        <v>73.3</v>
      </c>
      <c r="Q613">
        <v>127.5</v>
      </c>
      <c r="R613">
        <v>2963.6</v>
      </c>
    </row>
    <row r="614" spans="13:18" x14ac:dyDescent="0.25">
      <c r="M614">
        <v>108.1</v>
      </c>
      <c r="N614">
        <v>123</v>
      </c>
      <c r="O614">
        <v>113.5</v>
      </c>
      <c r="P614">
        <v>84.2</v>
      </c>
      <c r="Q614">
        <v>70</v>
      </c>
      <c r="R614">
        <v>2841.6</v>
      </c>
    </row>
    <row r="615" spans="13:18" x14ac:dyDescent="0.25">
      <c r="M615">
        <v>145.80000000000001</v>
      </c>
      <c r="N615">
        <v>103.2</v>
      </c>
      <c r="O615">
        <v>51.3</v>
      </c>
      <c r="P615">
        <v>116.9</v>
      </c>
      <c r="Q615">
        <v>148.30000000000001</v>
      </c>
      <c r="R615">
        <v>3214.2</v>
      </c>
    </row>
    <row r="616" spans="13:18" x14ac:dyDescent="0.25">
      <c r="M616">
        <v>51.1</v>
      </c>
      <c r="N616">
        <v>108.5</v>
      </c>
      <c r="O616">
        <v>64.599999999999994</v>
      </c>
      <c r="P616">
        <v>73.400000000000006</v>
      </c>
      <c r="Q616">
        <v>142.69999999999999</v>
      </c>
      <c r="R616">
        <v>2876.1</v>
      </c>
    </row>
    <row r="617" spans="13:18" x14ac:dyDescent="0.25">
      <c r="M617">
        <v>124.3</v>
      </c>
      <c r="N617">
        <v>130.4</v>
      </c>
      <c r="O617">
        <v>78</v>
      </c>
      <c r="P617">
        <v>89.9</v>
      </c>
      <c r="Q617">
        <v>106.4</v>
      </c>
      <c r="R617">
        <v>2910.4</v>
      </c>
    </row>
    <row r="618" spans="13:18" x14ac:dyDescent="0.25">
      <c r="M618">
        <v>83.5</v>
      </c>
      <c r="N618">
        <v>82.9</v>
      </c>
      <c r="O618">
        <v>81.3</v>
      </c>
      <c r="P618">
        <v>51.6</v>
      </c>
      <c r="Q618">
        <v>94.3</v>
      </c>
      <c r="R618">
        <v>2349.3000000000002</v>
      </c>
    </row>
    <row r="619" spans="13:18" x14ac:dyDescent="0.25">
      <c r="M619">
        <v>123.2</v>
      </c>
      <c r="N619">
        <v>131.9</v>
      </c>
      <c r="O619">
        <v>95.5</v>
      </c>
      <c r="P619">
        <v>85</v>
      </c>
      <c r="Q619">
        <v>98</v>
      </c>
      <c r="R619">
        <v>2948.7</v>
      </c>
    </row>
    <row r="620" spans="13:18" x14ac:dyDescent="0.25">
      <c r="M620">
        <v>133.4</v>
      </c>
      <c r="N620">
        <v>63.1</v>
      </c>
      <c r="O620">
        <v>79.2</v>
      </c>
      <c r="P620">
        <v>120.5</v>
      </c>
      <c r="Q620">
        <v>104</v>
      </c>
      <c r="R620">
        <v>3009.8</v>
      </c>
    </row>
    <row r="621" spans="13:18" x14ac:dyDescent="0.25">
      <c r="M621">
        <v>118.2</v>
      </c>
      <c r="N621">
        <v>52.2</v>
      </c>
      <c r="O621">
        <v>67.7</v>
      </c>
      <c r="P621">
        <v>138.5</v>
      </c>
      <c r="Q621">
        <v>113.9</v>
      </c>
      <c r="R621">
        <v>3132.6</v>
      </c>
    </row>
    <row r="622" spans="13:18" x14ac:dyDescent="0.25">
      <c r="M622">
        <v>80.900000000000006</v>
      </c>
      <c r="N622">
        <v>131</v>
      </c>
      <c r="O622">
        <v>58.3</v>
      </c>
      <c r="P622">
        <v>142.19999999999999</v>
      </c>
      <c r="Q622">
        <v>93.5</v>
      </c>
      <c r="R622">
        <v>3128.2</v>
      </c>
    </row>
    <row r="623" spans="13:18" x14ac:dyDescent="0.25">
      <c r="M623">
        <v>65.599999999999994</v>
      </c>
      <c r="N623">
        <v>61.1</v>
      </c>
      <c r="O623">
        <v>84.2</v>
      </c>
      <c r="P623">
        <v>120</v>
      </c>
      <c r="Q623">
        <v>141.1</v>
      </c>
      <c r="R623">
        <v>3356.9</v>
      </c>
    </row>
    <row r="624" spans="13:18" x14ac:dyDescent="0.25">
      <c r="M624">
        <v>71.5</v>
      </c>
      <c r="N624">
        <v>60.1</v>
      </c>
      <c r="O624">
        <v>141.9</v>
      </c>
      <c r="P624">
        <v>90.8</v>
      </c>
      <c r="Q624">
        <v>90.5</v>
      </c>
      <c r="R624">
        <v>3166.4</v>
      </c>
    </row>
    <row r="625" spans="13:18" x14ac:dyDescent="0.25">
      <c r="M625">
        <v>79</v>
      </c>
      <c r="N625">
        <v>142.30000000000001</v>
      </c>
      <c r="O625">
        <v>62.2</v>
      </c>
      <c r="P625">
        <v>145.69999999999999</v>
      </c>
      <c r="Q625">
        <v>89.4</v>
      </c>
      <c r="R625">
        <v>3187.8</v>
      </c>
    </row>
    <row r="626" spans="13:18" x14ac:dyDescent="0.25">
      <c r="M626">
        <v>55.7</v>
      </c>
      <c r="N626">
        <v>66.900000000000006</v>
      </c>
      <c r="O626">
        <v>141.30000000000001</v>
      </c>
      <c r="P626">
        <v>128.4</v>
      </c>
      <c r="Q626">
        <v>118.4</v>
      </c>
      <c r="R626">
        <v>3779.1</v>
      </c>
    </row>
    <row r="627" spans="13:18" x14ac:dyDescent="0.25">
      <c r="M627">
        <v>130.5</v>
      </c>
      <c r="N627">
        <v>107.9</v>
      </c>
      <c r="O627">
        <v>72.7</v>
      </c>
      <c r="P627">
        <v>118.1</v>
      </c>
      <c r="Q627">
        <v>142.80000000000001</v>
      </c>
      <c r="R627">
        <v>3369.5</v>
      </c>
    </row>
    <row r="628" spans="13:18" x14ac:dyDescent="0.25">
      <c r="M628">
        <v>52.9</v>
      </c>
      <c r="N628">
        <v>87.5</v>
      </c>
      <c r="O628">
        <v>144.19999999999999</v>
      </c>
      <c r="P628">
        <v>107.5</v>
      </c>
      <c r="Q628">
        <v>110</v>
      </c>
      <c r="R628">
        <v>3587.3</v>
      </c>
    </row>
    <row r="629" spans="13:18" x14ac:dyDescent="0.25">
      <c r="M629">
        <v>77.599999999999994</v>
      </c>
      <c r="N629">
        <v>137.30000000000001</v>
      </c>
      <c r="O629">
        <v>92.4</v>
      </c>
      <c r="P629">
        <v>89.7</v>
      </c>
      <c r="Q629">
        <v>136.4</v>
      </c>
      <c r="R629">
        <v>3308.4</v>
      </c>
    </row>
    <row r="630" spans="13:18" x14ac:dyDescent="0.25">
      <c r="M630">
        <v>140.1</v>
      </c>
      <c r="N630">
        <v>79.3</v>
      </c>
      <c r="O630">
        <v>128.9</v>
      </c>
      <c r="P630">
        <v>96.6</v>
      </c>
      <c r="Q630">
        <v>146.5</v>
      </c>
      <c r="R630">
        <v>3636.6</v>
      </c>
    </row>
    <row r="631" spans="13:18" x14ac:dyDescent="0.25">
      <c r="M631">
        <v>114.4</v>
      </c>
      <c r="N631">
        <v>141.19999999999999</v>
      </c>
      <c r="O631">
        <v>80</v>
      </c>
      <c r="P631">
        <v>52.1</v>
      </c>
      <c r="Q631">
        <v>57.5</v>
      </c>
      <c r="R631">
        <v>2188.8000000000002</v>
      </c>
    </row>
    <row r="632" spans="13:18" x14ac:dyDescent="0.25">
      <c r="M632">
        <v>66.7</v>
      </c>
      <c r="N632">
        <v>147.4</v>
      </c>
      <c r="O632">
        <v>103.9</v>
      </c>
      <c r="P632">
        <v>132.69999999999999</v>
      </c>
      <c r="Q632">
        <v>121.9</v>
      </c>
      <c r="R632">
        <v>3719.2</v>
      </c>
    </row>
    <row r="633" spans="13:18" x14ac:dyDescent="0.25">
      <c r="M633">
        <v>148.6</v>
      </c>
      <c r="N633">
        <v>50.7</v>
      </c>
      <c r="O633">
        <v>78.2</v>
      </c>
      <c r="P633">
        <v>50.2</v>
      </c>
      <c r="Q633">
        <v>72.5</v>
      </c>
      <c r="R633">
        <v>2039.7</v>
      </c>
    </row>
  </sheetData>
  <mergeCells count="2">
    <mergeCell ref="Y9:AD9"/>
    <mergeCell ref="Y21:Z21"/>
  </mergeCells>
  <pageMargins left="0.75" right="0.75" top="1" bottom="1" header="0.51180555555555562" footer="0.51180555555555562"/>
  <pageSetup firstPageNumber="0" orientation="portrait" horizontalDpi="300" verticalDpi="300"/>
  <headerFooter alignWithMargins="0"/>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Discrete Distributions</vt:lpstr>
      <vt:lpstr>Continous Distributions</vt:lpstr>
      <vt:lpstr>Measurement Assurance</vt:lpstr>
      <vt:lpstr>Statistical Inference</vt:lpstr>
      <vt:lpstr>SPC</vt:lpstr>
      <vt:lpstr>xBarR</vt:lpstr>
      <vt:lpstr>Process Capability</vt:lpstr>
      <vt:lpstr>Cpk</vt:lpstr>
      <vt:lpstr>Regression</vt:lpstr>
      <vt:lpstr>Skewness</vt:lpstr>
      <vt:lpstr>ANOVA</vt:lpstr>
      <vt:lpstr>Project Value</vt:lpstr>
      <vt:lpstr>Finance</vt:lpstr>
      <vt:lpstr>Project Management</vt:lpstr>
      <vt:lpstr>ProMgt</vt:lpstr>
      <vt:lpstr>ED Sig Factor</vt:lpstr>
      <vt:lpstr>DOE Example 12_3</vt:lpstr>
      <vt:lpstr>Simplex</vt:lpstr>
      <vt:lpstr>OFAT Exa</vt:lpstr>
      <vt:lpstr>Screen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eleuffgen</dc:creator>
  <cp:keywords/>
  <dc:description/>
  <cp:lastModifiedBy>Arnab</cp:lastModifiedBy>
  <cp:revision>1</cp:revision>
  <cp:lastPrinted>2006-12-06T19:50:20Z</cp:lastPrinted>
  <dcterms:created xsi:type="dcterms:W3CDTF">2006-11-08T13:38:51Z</dcterms:created>
  <dcterms:modified xsi:type="dcterms:W3CDTF">2023-05-27T01:28:49Z</dcterms:modified>
</cp:coreProperties>
</file>