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nab Docs\Six Sigma\SS Study Guide\"/>
    </mc:Choice>
  </mc:AlternateContent>
  <xr:revisionPtr revIDLastSave="0" documentId="13_ncr:1_{0AC8F3CB-9758-407F-9E26-6394AF528F56}" xr6:coauthVersionLast="47" xr6:coauthVersionMax="47" xr10:uidLastSave="{00000000-0000-0000-0000-000000000000}"/>
  <bookViews>
    <workbookView xWindow="-110" yWindow="-110" windowWidth="19420" windowHeight="10420" xr2:uid="{B176FD3D-9EF8-462E-8518-97B0C4CEBCEB}"/>
  </bookViews>
  <sheets>
    <sheet name="Linearity-1" sheetId="4" r:id="rId1"/>
    <sheet name="Bias" sheetId="1" r:id="rId2"/>
    <sheet name="Repeatability &amp; Reproducibility" sheetId="3" r:id="rId3"/>
    <sheet name="Linearity-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B20" i="2"/>
  <c r="L52" i="3"/>
  <c r="J16" i="3"/>
  <c r="B19" i="2"/>
  <c r="Q13" i="2"/>
  <c r="U4" i="2"/>
  <c r="U5" i="2"/>
  <c r="U6" i="2"/>
  <c r="U7" i="2"/>
  <c r="U8" i="2"/>
  <c r="U9" i="2"/>
  <c r="U10" i="2"/>
  <c r="U11" i="2"/>
  <c r="U12" i="2"/>
  <c r="U3" i="2"/>
  <c r="T4" i="2"/>
  <c r="T5" i="2"/>
  <c r="T6" i="2"/>
  <c r="T7" i="2"/>
  <c r="T8" i="2"/>
  <c r="T13" i="2" s="1"/>
  <c r="T9" i="2"/>
  <c r="T10" i="2"/>
  <c r="T11" i="2"/>
  <c r="T12" i="2"/>
  <c r="T3" i="2"/>
  <c r="R4" i="2"/>
  <c r="R5" i="2"/>
  <c r="R6" i="2"/>
  <c r="R7" i="2"/>
  <c r="R8" i="2"/>
  <c r="R9" i="2"/>
  <c r="R10" i="2"/>
  <c r="R11" i="2"/>
  <c r="R12" i="2"/>
  <c r="R3" i="2"/>
  <c r="B21" i="2"/>
  <c r="U13" i="2" l="1"/>
  <c r="C17" i="2" s="1"/>
  <c r="C19" i="2" s="1"/>
  <c r="R13" i="2"/>
  <c r="S13" i="2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C20" i="3"/>
  <c r="D20" i="3"/>
  <c r="E20" i="3"/>
  <c r="F20" i="3"/>
  <c r="G20" i="3"/>
  <c r="B20" i="3"/>
  <c r="J20" i="3" s="1"/>
  <c r="R45" i="3"/>
  <c r="R46" i="3"/>
  <c r="Q55" i="3"/>
  <c r="R55" i="3" s="1"/>
  <c r="S55" i="3" s="1"/>
  <c r="Q56" i="3"/>
  <c r="R56" i="3" s="1"/>
  <c r="S56" i="3" s="1"/>
  <c r="Q57" i="3"/>
  <c r="R57" i="3" s="1"/>
  <c r="Q58" i="3"/>
  <c r="R58" i="3" s="1"/>
  <c r="Q59" i="3"/>
  <c r="R59" i="3" s="1"/>
  <c r="Q60" i="3"/>
  <c r="R60" i="3" s="1"/>
  <c r="Q61" i="3"/>
  <c r="R61" i="3" s="1"/>
  <c r="Q62" i="3"/>
  <c r="R62" i="3" s="1"/>
  <c r="S62" i="3" s="1"/>
  <c r="Q63" i="3"/>
  <c r="R63" i="3" s="1"/>
  <c r="S63" i="3" s="1"/>
  <c r="Q54" i="3"/>
  <c r="R54" i="3" s="1"/>
  <c r="S54" i="3" s="1"/>
  <c r="Q45" i="3"/>
  <c r="Q46" i="3"/>
  <c r="Q47" i="3"/>
  <c r="R47" i="3" s="1"/>
  <c r="Q48" i="3"/>
  <c r="R48" i="3" s="1"/>
  <c r="Q49" i="3"/>
  <c r="R49" i="3" s="1"/>
  <c r="Q50" i="3"/>
  <c r="R50" i="3" s="1"/>
  <c r="Q51" i="3"/>
  <c r="R51" i="3" s="1"/>
  <c r="S51" i="3" s="1"/>
  <c r="Q52" i="3"/>
  <c r="R52" i="3" s="1"/>
  <c r="S52" i="3" s="1"/>
  <c r="Q53" i="3"/>
  <c r="R53" i="3" s="1"/>
  <c r="S53" i="3" s="1"/>
  <c r="Q44" i="3"/>
  <c r="R44" i="3" s="1"/>
  <c r="Q35" i="3"/>
  <c r="R35" i="3" s="1"/>
  <c r="Q36" i="3"/>
  <c r="R36" i="3" s="1"/>
  <c r="Q37" i="3"/>
  <c r="R37" i="3" s="1"/>
  <c r="Q38" i="3"/>
  <c r="R38" i="3" s="1"/>
  <c r="S38" i="3" s="1"/>
  <c r="Q39" i="3"/>
  <c r="R39" i="3" s="1"/>
  <c r="S39" i="3" s="1"/>
  <c r="Q40" i="3"/>
  <c r="R40" i="3" s="1"/>
  <c r="S40" i="3" s="1"/>
  <c r="Q41" i="3"/>
  <c r="R41" i="3" s="1"/>
  <c r="Q42" i="3"/>
  <c r="R42" i="3" s="1"/>
  <c r="Q43" i="3"/>
  <c r="R43" i="3" s="1"/>
  <c r="Q34" i="3"/>
  <c r="R34" i="3" s="1"/>
  <c r="R22" i="3"/>
  <c r="R23" i="3"/>
  <c r="S23" i="3" s="1"/>
  <c r="Q19" i="3"/>
  <c r="R19" i="3" s="1"/>
  <c r="Q20" i="3"/>
  <c r="R20" i="3" s="1"/>
  <c r="Q21" i="3"/>
  <c r="R21" i="3" s="1"/>
  <c r="Q22" i="3"/>
  <c r="Q23" i="3"/>
  <c r="Q24" i="3"/>
  <c r="R24" i="3" s="1"/>
  <c r="S24" i="3" s="1"/>
  <c r="Q25" i="3"/>
  <c r="R25" i="3" s="1"/>
  <c r="S25" i="3" s="1"/>
  <c r="Q26" i="3"/>
  <c r="R26" i="3" s="1"/>
  <c r="Q27" i="3"/>
  <c r="R27" i="3" s="1"/>
  <c r="Q18" i="3"/>
  <c r="R18" i="3" s="1"/>
  <c r="Q8" i="3"/>
  <c r="R8" i="3" s="1"/>
  <c r="Q7" i="3"/>
  <c r="R7" i="3" s="1"/>
  <c r="I13" i="3"/>
  <c r="K20" i="3" s="1"/>
  <c r="I12" i="3"/>
  <c r="I11" i="3"/>
  <c r="K17" i="3" s="1"/>
  <c r="I10" i="3"/>
  <c r="Q6" i="3"/>
  <c r="R6" i="3" s="1"/>
  <c r="S46" i="3" l="1"/>
  <c r="S61" i="3"/>
  <c r="S34" i="3"/>
  <c r="S36" i="3"/>
  <c r="S64" i="3" s="1"/>
  <c r="S48" i="3"/>
  <c r="S60" i="3"/>
  <c r="S22" i="3"/>
  <c r="S37" i="3"/>
  <c r="S35" i="3"/>
  <c r="S47" i="3"/>
  <c r="S59" i="3"/>
  <c r="S50" i="3"/>
  <c r="S45" i="3"/>
  <c r="S43" i="3"/>
  <c r="S20" i="3"/>
  <c r="S28" i="3" s="1"/>
  <c r="J17" i="3" s="1"/>
  <c r="L17" i="3" s="1"/>
  <c r="S42" i="3"/>
  <c r="S44" i="3"/>
  <c r="S58" i="3"/>
  <c r="S21" i="3"/>
  <c r="S18" i="3"/>
  <c r="S27" i="3"/>
  <c r="S19" i="3"/>
  <c r="S41" i="3"/>
  <c r="S57" i="3"/>
  <c r="S49" i="3"/>
  <c r="K19" i="3"/>
  <c r="S26" i="3"/>
  <c r="C18" i="2"/>
  <c r="K16" i="3"/>
  <c r="K18" i="3" s="1"/>
  <c r="S8" i="3"/>
  <c r="S7" i="3"/>
  <c r="S6" i="3"/>
  <c r="K19" i="1"/>
  <c r="H14" i="2"/>
  <c r="H13" i="2"/>
  <c r="H12" i="2"/>
  <c r="H11" i="2"/>
  <c r="H10" i="2"/>
  <c r="H9" i="2"/>
  <c r="H8" i="2"/>
  <c r="H7" i="2"/>
  <c r="B17" i="2" s="1"/>
  <c r="H6" i="2"/>
  <c r="H5" i="2"/>
  <c r="B4" i="1"/>
  <c r="B8" i="1" s="1"/>
  <c r="B5" i="1"/>
  <c r="B7" i="1"/>
  <c r="S9" i="3" l="1"/>
  <c r="L16" i="3" s="1"/>
  <c r="B18" i="2"/>
  <c r="J18" i="3"/>
  <c r="L18" i="3" s="1"/>
  <c r="B9" i="1"/>
  <c r="L39" i="3" l="1"/>
  <c r="L59" i="3"/>
  <c r="J19" i="3"/>
  <c r="L19" i="3" s="1"/>
  <c r="L33" i="3" s="1"/>
  <c r="L65" i="3" s="1"/>
  <c r="L46" i="3" l="1"/>
  <c r="M16" i="3"/>
  <c r="M17" i="3"/>
  <c r="M18" i="3"/>
</calcChain>
</file>

<file path=xl/sharedStrings.xml><?xml version="1.0" encoding="utf-8"?>
<sst xmlns="http://schemas.openxmlformats.org/spreadsheetml/2006/main" count="187" uniqueCount="99">
  <si>
    <t>Data</t>
  </si>
  <si>
    <t>Gage Bias</t>
  </si>
  <si>
    <t xml:space="preserve">Reference Value = </t>
  </si>
  <si>
    <t xml:space="preserve">Average = </t>
  </si>
  <si>
    <t xml:space="preserve">Sample Standard Deviation = </t>
  </si>
  <si>
    <t xml:space="preserve">Significance = </t>
  </si>
  <si>
    <t xml:space="preserve">t Computed = </t>
  </si>
  <si>
    <t xml:space="preserve">t Critical = </t>
  </si>
  <si>
    <t xml:space="preserve">Bias = </t>
  </si>
  <si>
    <t>Linearity</t>
  </si>
  <si>
    <t>Trial 1</t>
  </si>
  <si>
    <t>Trial 2</t>
  </si>
  <si>
    <t>Trial 3</t>
  </si>
  <si>
    <t>Trial 4</t>
  </si>
  <si>
    <t>Trial 5</t>
  </si>
  <si>
    <t>Reference Value</t>
  </si>
  <si>
    <t>Average Reading</t>
  </si>
  <si>
    <t>Average Bias</t>
  </si>
  <si>
    <r>
      <t xml:space="preserve">Given a process standard deviation of </t>
    </r>
    <r>
      <rPr>
        <sz val="10"/>
        <rFont val="Calibri"/>
        <family val="2"/>
      </rPr>
      <t>σ</t>
    </r>
    <r>
      <rPr>
        <sz val="10"/>
        <rFont val="Arial"/>
        <family val="2"/>
      </rPr>
      <t>, bias as a percent of process variation (6</t>
    </r>
    <r>
      <rPr>
        <sz val="10"/>
        <rFont val="Calibri"/>
        <family val="2"/>
      </rPr>
      <t>σ</t>
    </r>
    <r>
      <rPr>
        <sz val="10"/>
        <rFont val="Arial"/>
        <family val="2"/>
      </rPr>
      <t>) is:</t>
    </r>
  </si>
  <si>
    <t>Given a tolerance (Upper specification - Lower specification) of T, bias as a percent of process tolerance is:</t>
  </si>
  <si>
    <t>The significance of the bias is determined using a t-test. The test hypotheses are:</t>
  </si>
  <si>
    <t>The test statistic is:</t>
  </si>
  <si>
    <t>***</t>
  </si>
  <si>
    <t>https://www.sjsu.edu/faculty/gerstman/StatPrimer/t-table.pdf</t>
  </si>
  <si>
    <t>Search for row = 29 and column = 0.10</t>
  </si>
  <si>
    <t xml:space="preserve">of the t-distribution are 1.699 and -1.699.  These values can be found </t>
  </si>
  <si>
    <t xml:space="preserve">Since the computed t-statistic does not fall between the critical values, the bias is significant, and the </t>
  </si>
  <si>
    <t>possible, the scale should be adjusted to yield a bias of zero.</t>
  </si>
  <si>
    <r>
      <t>Using a significance level of </t>
    </r>
    <r>
      <rPr>
        <sz val="10"/>
        <color rgb="FF000000"/>
        <rFont val="Arial"/>
        <family val="2"/>
      </rPr>
      <t>a = 0.1, with 29 degrees of freedom (30 -1), the critical values with the Excel function</t>
    </r>
  </si>
  <si>
    <t>Sum</t>
  </si>
  <si>
    <t>F</t>
  </si>
  <si>
    <t>Appraiser</t>
  </si>
  <si>
    <t>SSA</t>
  </si>
  <si>
    <t>a-1</t>
  </si>
  <si>
    <t>MSA = SSA/(a-1)</t>
  </si>
  <si>
    <t>F = MSA/MSE</t>
  </si>
  <si>
    <t>Parts</t>
  </si>
  <si>
    <t>SSB</t>
  </si>
  <si>
    <t>b-1</t>
  </si>
  <si>
    <t>MSB = SSB/(b-1)</t>
  </si>
  <si>
    <t>F = MSB/MSE</t>
  </si>
  <si>
    <t>SSAB</t>
  </si>
  <si>
    <t>(a-1)(b-1)</t>
  </si>
  <si>
    <t>F = MSAB/MSE</t>
  </si>
  <si>
    <t>Gage (Error)</t>
  </si>
  <si>
    <t>SSE</t>
  </si>
  <si>
    <t>ab(n-1)</t>
  </si>
  <si>
    <t>Total</t>
  </si>
  <si>
    <t>TSS</t>
  </si>
  <si>
    <t>N-1</t>
  </si>
  <si>
    <t>Source of Variation</t>
  </si>
  <si>
    <t>Sum of Squares</t>
  </si>
  <si>
    <t>Degrees of Freedom</t>
  </si>
  <si>
    <t>Mean Square</t>
  </si>
  <si>
    <t>MSE = SSE/(ab(n-1))</t>
  </si>
  <si>
    <t>MSAB = SSAB/((a-1)(b-1))</t>
  </si>
  <si>
    <t>Interaction (Appraiser, Parts)</t>
  </si>
  <si>
    <t>Part</t>
  </si>
  <si>
    <t>Operator</t>
  </si>
  <si>
    <t>A</t>
  </si>
  <si>
    <t>B</t>
  </si>
  <si>
    <t>C</t>
  </si>
  <si>
    <r>
      <t>a</t>
    </r>
    <r>
      <rPr>
        <sz val="13.5"/>
        <color rgb="FF000000"/>
        <rFont val="Times New Roman"/>
        <family val="1"/>
      </rPr>
      <t> = number of appraisers,</t>
    </r>
    <r>
      <rPr>
        <i/>
        <sz val="13.5"/>
        <color rgb="FF000000"/>
        <rFont val="Times New Roman"/>
        <family val="1"/>
      </rPr>
      <t xml:space="preserve"> (here a = 3)</t>
    </r>
  </si>
  <si>
    <r>
      <t>b</t>
    </r>
    <r>
      <rPr>
        <sz val="13.5"/>
        <color rgb="FF000000"/>
        <rFont val="Times New Roman"/>
        <family val="1"/>
      </rPr>
      <t> = number parts,</t>
    </r>
    <r>
      <rPr>
        <i/>
        <sz val="13.5"/>
        <color rgb="FF000000"/>
        <rFont val="Times New Roman"/>
        <family val="1"/>
      </rPr>
      <t xml:space="preserve"> (here b = 10)</t>
    </r>
  </si>
  <si>
    <r>
      <t>n</t>
    </r>
    <r>
      <rPr>
        <sz val="13.5"/>
        <color rgb="FF000000"/>
        <rFont val="Times New Roman"/>
        <family val="1"/>
      </rPr>
      <t> = the number of trials (here n = 2)</t>
    </r>
  </si>
  <si>
    <r>
      <t>N</t>
    </r>
    <r>
      <rPr>
        <sz val="13.5"/>
        <color rgb="FF000000"/>
        <rFont val="Times New Roman"/>
        <family val="1"/>
      </rPr>
      <t> = total number of readings (</t>
    </r>
    <r>
      <rPr>
        <i/>
        <sz val="13.5"/>
        <color rgb="FF000000"/>
        <rFont val="Times New Roman"/>
        <family val="1"/>
      </rPr>
      <t>abn</t>
    </r>
    <r>
      <rPr>
        <sz val="13.5"/>
        <color rgb="FF000000"/>
        <rFont val="Times New Roman"/>
        <family val="1"/>
      </rPr>
      <t>)</t>
    </r>
    <r>
      <rPr>
        <i/>
        <sz val="13.5"/>
        <color rgb="FF000000"/>
        <rFont val="Times New Roman"/>
        <family val="1"/>
      </rPr>
      <t xml:space="preserve"> (here a * b * n = 3 * 10 * 2 = 60)</t>
    </r>
  </si>
  <si>
    <t>Sum Squared</t>
  </si>
  <si>
    <t>Sum Squared/(b*n)</t>
  </si>
  <si>
    <t>Significance</t>
  </si>
  <si>
    <t>Sum Squared/(a*n)</t>
  </si>
  <si>
    <t>Sum Squared/n</t>
  </si>
  <si>
    <t>Trial 1^2</t>
  </si>
  <si>
    <t>Trial 2^2</t>
  </si>
  <si>
    <t>The interaction between the appraisers and the parts is:</t>
  </si>
  <si>
    <t>The measurement system part variation is:</t>
  </si>
  <si>
    <t>The total measurement system variation is:</t>
  </si>
  <si>
    <t>Repeatability =</t>
  </si>
  <si>
    <t>Reproducibility =</t>
  </si>
  <si>
    <t>Interaction =</t>
  </si>
  <si>
    <t>R &amp; R =</t>
  </si>
  <si>
    <t>Part Variation =</t>
  </si>
  <si>
    <t>Total variation =</t>
  </si>
  <si>
    <r>
      <t>The bias at any point can be estimate from the slope and the </t>
    </r>
    <r>
      <rPr>
        <i/>
        <sz val="12"/>
        <color rgb="FF000000"/>
        <rFont val="Times New Roman"/>
        <family val="1"/>
      </rPr>
      <t>y</t>
    </r>
    <r>
      <rPr>
        <sz val="12"/>
        <color rgb="FF000000"/>
        <rFont val="Times New Roman"/>
        <family val="1"/>
      </rPr>
      <t>-intercept, </t>
    </r>
    <r>
      <rPr>
        <i/>
        <sz val="12"/>
        <color rgb="FF000000"/>
        <rFont val="Times New Roman"/>
        <family val="1"/>
      </rPr>
      <t>y</t>
    </r>
    <r>
      <rPr>
        <vertAlign val="subscript"/>
        <sz val="12"/>
        <color rgb="FF000000"/>
        <rFont val="Times New Roman"/>
        <family val="1"/>
      </rPr>
      <t>o</t>
    </r>
    <r>
      <rPr>
        <sz val="12"/>
        <color rgb="FF000000"/>
        <rFont val="Times New Roman"/>
        <family val="1"/>
      </rPr>
      <t> of the best-fit line.</t>
    </r>
  </si>
  <si>
    <r>
      <t>B</t>
    </r>
    <r>
      <rPr>
        <sz val="12"/>
        <color rgb="FF000000"/>
        <rFont val="Times New Roman"/>
        <family val="1"/>
      </rPr>
      <t> = </t>
    </r>
    <r>
      <rPr>
        <i/>
        <sz val="12"/>
        <color rgb="FF000000"/>
        <rFont val="Times New Roman"/>
        <family val="1"/>
      </rPr>
      <t>y</t>
    </r>
    <r>
      <rPr>
        <vertAlign val="subscript"/>
        <sz val="12"/>
        <color rgb="FF000000"/>
        <rFont val="Times New Roman"/>
        <family val="1"/>
      </rPr>
      <t>o</t>
    </r>
    <r>
      <rPr>
        <sz val="12"/>
        <color rgb="FF000000"/>
        <rFont val="Times New Roman"/>
        <family val="1"/>
      </rPr>
      <t> + </t>
    </r>
    <r>
      <rPr>
        <i/>
        <sz val="12"/>
        <color rgb="FF000000"/>
        <rFont val="Times New Roman"/>
        <family val="1"/>
      </rPr>
      <t>bx</t>
    </r>
  </si>
  <si>
    <t>Reference (x)</t>
  </si>
  <si>
    <t>Bias (y)</t>
  </si>
  <si>
    <t>x * y</t>
  </si>
  <si>
    <t>n =</t>
  </si>
  <si>
    <t>Total =</t>
  </si>
  <si>
    <t xml:space="preserve">Slope (b) = </t>
  </si>
  <si>
    <r>
      <t>y-intercept (y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)= </t>
    </r>
  </si>
  <si>
    <t>x^2</t>
  </si>
  <si>
    <t>y^2</t>
  </si>
  <si>
    <r>
      <t>H</t>
    </r>
    <r>
      <rPr>
        <vertAlign val="subscript"/>
        <sz val="10"/>
        <rFont val="Arial"/>
        <family val="2"/>
      </rPr>
      <t>o</t>
    </r>
    <r>
      <rPr>
        <sz val="10"/>
        <rFont val="Arial"/>
        <family val="2"/>
      </rPr>
      <t>: </t>
    </r>
    <r>
      <rPr>
        <sz val="13.5"/>
        <color rgb="FF000000"/>
        <rFont val="Symbol"/>
        <family val="1"/>
        <charset val="2"/>
      </rPr>
      <t>m</t>
    </r>
    <r>
      <rPr>
        <sz val="13.5"/>
        <color rgb="FF000000"/>
        <rFont val="Times New Roman"/>
        <family val="1"/>
      </rPr>
      <t> = </t>
    </r>
    <r>
      <rPr>
        <sz val="13.5"/>
        <color rgb="FF000000"/>
        <rFont val="Symbol"/>
        <family val="1"/>
        <charset val="2"/>
      </rPr>
      <t>t</t>
    </r>
  </si>
  <si>
    <r>
      <t>H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: </t>
    </r>
    <r>
      <rPr>
        <sz val="13.5"/>
        <color rgb="FF000000"/>
        <rFont val="Symbol"/>
        <family val="1"/>
        <charset val="2"/>
      </rPr>
      <t xml:space="preserve">m </t>
    </r>
    <r>
      <rPr>
        <sz val="13.5"/>
        <color rgb="FF000000"/>
        <rFont val="Times New Roman"/>
        <family val="1"/>
      </rPr>
      <t>does not equal </t>
    </r>
    <r>
      <rPr>
        <sz val="13.5"/>
        <color rgb="FF000000"/>
        <rFont val="Symbol"/>
        <family val="1"/>
        <charset val="2"/>
      </rPr>
      <t>t</t>
    </r>
  </si>
  <si>
    <t>The measurement system repeatability and reproducibility is:</t>
  </si>
  <si>
    <t xml:space="preserve">%Linearity = </t>
  </si>
  <si>
    <t>Linearity =</t>
  </si>
  <si>
    <t>Process SD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</si>
</sst>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00%"/>
    <numFmt numFmtId="166" formatCode="0.0"/>
    <numFmt numFmtId="167" formatCode="0.000"/>
    <numFmt numFmtId="168" formatCode="0.0000000"/>
    <numFmt numFmtId="169" formatCode="0.00000000"/>
  </numFmts>
  <fonts count="24" x14ac:knownFonts="1">
    <font>
      <sz val="10"/>
      <name val="Arial"/>
    </font>
    <font>
      <sz val="10"/>
      <name val="Arial"/>
      <family val="2"/>
    </font>
    <font>
      <sz val="10"/>
      <color indexed="8"/>
      <name val="Times New Roman"/>
      <family val="1"/>
    </font>
    <font>
      <b/>
      <sz val="10"/>
      <name val="Arial"/>
      <family val="2"/>
    </font>
    <font>
      <b/>
      <sz val="18"/>
      <name val="Arial"/>
      <family val="2"/>
    </font>
    <font>
      <b/>
      <sz val="26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0"/>
      <name val="Calibri"/>
      <family val="2"/>
    </font>
    <font>
      <sz val="13.5"/>
      <color rgb="FF000000"/>
      <name val="Times New Roman"/>
      <family val="1"/>
    </font>
    <font>
      <sz val="13.5"/>
      <color rgb="FF000000"/>
      <name val="Symbol"/>
      <family val="1"/>
      <charset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i/>
      <sz val="13.5"/>
      <color rgb="FF00000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vertAlign val="subscript"/>
      <sz val="12"/>
      <name val="Arial"/>
      <family val="2"/>
    </font>
    <font>
      <vertAlign val="subscript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quotePrefix="1" applyAlignment="1">
      <alignment horizontal="right"/>
    </xf>
    <xf numFmtId="164" fontId="0" fillId="2" borderId="0" xfId="1" applyNumberFormat="1" applyFont="1" applyFill="1" applyAlignment="1">
      <alignment horizontal="left"/>
    </xf>
    <xf numFmtId="0" fontId="0" fillId="3" borderId="0" xfId="0" applyFill="1" applyAlignment="1">
      <alignment horizontal="left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5" fillId="0" borderId="0" xfId="0" applyFont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/>
    <xf numFmtId="0" fontId="10" fillId="4" borderId="0" xfId="0" applyFont="1" applyFill="1"/>
    <xf numFmtId="0" fontId="10" fillId="5" borderId="0" xfId="0" applyFont="1" applyFill="1"/>
    <xf numFmtId="0" fontId="14" fillId="0" borderId="0" xfId="2" applyAlignment="1"/>
    <xf numFmtId="0" fontId="10" fillId="6" borderId="0" xfId="0" applyFont="1" applyFill="1"/>
    <xf numFmtId="166" fontId="2" fillId="0" borderId="0" xfId="0" applyNumberFormat="1" applyFont="1" applyAlignment="1">
      <alignment horizontal="right" vertical="top" wrapText="1"/>
    </xf>
    <xf numFmtId="0" fontId="8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0" fillId="0" borderId="8" xfId="0" applyBorder="1"/>
    <xf numFmtId="0" fontId="10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4" fontId="9" fillId="0" borderId="8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9" xfId="0" applyBorder="1"/>
    <xf numFmtId="2" fontId="0" fillId="0" borderId="0" xfId="0" applyNumberFormat="1"/>
    <xf numFmtId="0" fontId="10" fillId="0" borderId="8" xfId="0" applyFont="1" applyBorder="1" applyAlignment="1">
      <alignment horizontal="right"/>
    </xf>
    <xf numFmtId="166" fontId="0" fillId="0" borderId="8" xfId="0" applyNumberFormat="1" applyBorder="1"/>
    <xf numFmtId="2" fontId="0" fillId="0" borderId="8" xfId="0" applyNumberFormat="1" applyBorder="1"/>
    <xf numFmtId="166" fontId="10" fillId="0" borderId="8" xfId="0" applyNumberFormat="1" applyFont="1" applyBorder="1"/>
    <xf numFmtId="2" fontId="9" fillId="0" borderId="1" xfId="0" applyNumberFormat="1" applyFont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166" fontId="9" fillId="0" borderId="1" xfId="0" applyNumberFormat="1" applyFont="1" applyBorder="1" applyAlignment="1">
      <alignment vertical="center" wrapText="1"/>
    </xf>
    <xf numFmtId="0" fontId="18" fillId="0" borderId="0" xfId="0" applyFont="1"/>
    <xf numFmtId="0" fontId="19" fillId="0" borderId="0" xfId="0" applyFont="1" applyAlignment="1">
      <alignment vertic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17" fillId="0" borderId="0" xfId="0" applyFont="1" applyAlignment="1">
      <alignment horizontal="right"/>
    </xf>
    <xf numFmtId="2" fontId="18" fillId="0" borderId="0" xfId="0" applyNumberFormat="1" applyFont="1"/>
    <xf numFmtId="168" fontId="18" fillId="3" borderId="0" xfId="0" applyNumberFormat="1" applyFont="1" applyFill="1"/>
    <xf numFmtId="169" fontId="18" fillId="3" borderId="0" xfId="0" applyNumberFormat="1" applyFont="1" applyFill="1"/>
    <xf numFmtId="165" fontId="18" fillId="3" borderId="0" xfId="0" applyNumberFormat="1" applyFont="1" applyFill="1"/>
    <xf numFmtId="0" fontId="18" fillId="7" borderId="0" xfId="0" applyFont="1" applyFill="1" applyAlignment="1">
      <alignment horizontal="left"/>
    </xf>
    <xf numFmtId="165" fontId="18" fillId="7" borderId="0" xfId="1" applyNumberFormat="1" applyFont="1" applyFill="1" applyAlignment="1">
      <alignment horizontal="left"/>
    </xf>
    <xf numFmtId="0" fontId="18" fillId="7" borderId="0" xfId="0" applyFont="1" applyFill="1"/>
    <xf numFmtId="0" fontId="6" fillId="0" borderId="8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top" wrapText="1"/>
    </xf>
    <xf numFmtId="0" fontId="18" fillId="0" borderId="8" xfId="0" applyFont="1" applyBorder="1"/>
    <xf numFmtId="167" fontId="7" fillId="0" borderId="8" xfId="0" applyNumberFormat="1" applyFont="1" applyBorder="1" applyAlignment="1">
      <alignment horizontal="center" vertical="top" wrapText="1"/>
    </xf>
    <xf numFmtId="167" fontId="18" fillId="0" borderId="8" xfId="0" applyNumberFormat="1" applyFont="1" applyBorder="1"/>
    <xf numFmtId="0" fontId="17" fillId="0" borderId="0" xfId="0" applyFont="1"/>
    <xf numFmtId="0" fontId="1" fillId="4" borderId="0" xfId="0" applyFont="1" applyFill="1"/>
    <xf numFmtId="0" fontId="1" fillId="0" borderId="0" xfId="0" applyFont="1"/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18" fillId="8" borderId="0" xfId="0" applyFont="1" applyFill="1"/>
    <xf numFmtId="168" fontId="18" fillId="7" borderId="0" xfId="0" applyNumberFormat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Linearity of Measurement System (Scatter Plot)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'Linearity-1'!$D$3</c:f>
              <c:strCache>
                <c:ptCount val="1"/>
                <c:pt idx="0">
                  <c:v>Average Bias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'Linearity-1'!$B$4:$B$8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</c:numCache>
            </c:numRef>
          </c:xVal>
          <c:yVal>
            <c:numRef>
              <c:f>'Linearity-1'!$D$4:$D$8</c:f>
              <c:numCache>
                <c:formatCode>General</c:formatCode>
                <c:ptCount val="5"/>
                <c:pt idx="0">
                  <c:v>-0.02</c:v>
                </c:pt>
                <c:pt idx="1">
                  <c:v>-0.01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26-4873-BEC5-49C1E7234A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1505072"/>
        <c:axId val="1201498352"/>
      </c:scatterChart>
      <c:valAx>
        <c:axId val="120150507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Reference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98352"/>
        <c:crosses val="autoZero"/>
        <c:crossBetween val="midCat"/>
      </c:valAx>
      <c:valAx>
        <c:axId val="12014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Scatter Plot for Linearity with Regression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'Linearity-2'!$H$4</c:f>
              <c:strCache>
                <c:ptCount val="1"/>
                <c:pt idx="0">
                  <c:v>Bias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513538932633421"/>
                  <c:y val="4.8625328083989498E-2"/>
                </c:manualLayout>
              </c:layout>
              <c:numFmt formatCode="General" sourceLinked="0"/>
              <c:spPr>
                <a:noFill/>
                <a:ln>
                  <a:solidFill>
                    <a:srgbClr val="00206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'Linearity-2'!$B$5:$B$14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'Linearity-2'!$H$5:$H$14</c:f>
              <c:numCache>
                <c:formatCode>General</c:formatCode>
                <c:ptCount val="10"/>
                <c:pt idx="0">
                  <c:v>-0.16600000000000037</c:v>
                </c:pt>
                <c:pt idx="1">
                  <c:v>-5.3999999999998494E-2</c:v>
                </c:pt>
                <c:pt idx="2">
                  <c:v>-1.6000000000001791E-2</c:v>
                </c:pt>
                <c:pt idx="3">
                  <c:v>-4.7999999999994714E-2</c:v>
                </c:pt>
                <c:pt idx="4">
                  <c:v>1.0000000000005116E-2</c:v>
                </c:pt>
                <c:pt idx="5">
                  <c:v>1.3999999999995794E-2</c:v>
                </c:pt>
                <c:pt idx="6">
                  <c:v>5.9999999999988063E-2</c:v>
                </c:pt>
                <c:pt idx="7">
                  <c:v>4.8000000000001819E-2</c:v>
                </c:pt>
                <c:pt idx="8">
                  <c:v>0.12399999999999523</c:v>
                </c:pt>
                <c:pt idx="9">
                  <c:v>0.1460000000000008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0-415D-B24A-EA593EF03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0992"/>
        <c:axId val="41868112"/>
      </c:scatterChart>
      <c:valAx>
        <c:axId val="4187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8112"/>
        <c:crosses val="autoZero"/>
        <c:crossBetween val="midCat"/>
      </c:valAx>
      <c:valAx>
        <c:axId val="418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gif"/><Relationship Id="rId2" Type="http://schemas.openxmlformats.org/officeDocument/2006/relationships/image" Target="../media/image3.gif"/><Relationship Id="rId1" Type="http://schemas.openxmlformats.org/officeDocument/2006/relationships/image" Target="../media/image2.gif"/><Relationship Id="rId5" Type="http://schemas.openxmlformats.org/officeDocument/2006/relationships/image" Target="../media/image6.gif"/><Relationship Id="rId4" Type="http://schemas.openxmlformats.org/officeDocument/2006/relationships/image" Target="../media/image5.gi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gif"/><Relationship Id="rId13" Type="http://schemas.openxmlformats.org/officeDocument/2006/relationships/image" Target="../media/image19.gif"/><Relationship Id="rId3" Type="http://schemas.openxmlformats.org/officeDocument/2006/relationships/image" Target="../media/image9.gif"/><Relationship Id="rId7" Type="http://schemas.openxmlformats.org/officeDocument/2006/relationships/image" Target="../media/image13.gif"/><Relationship Id="rId12" Type="http://schemas.openxmlformats.org/officeDocument/2006/relationships/image" Target="../media/image18.gif"/><Relationship Id="rId17" Type="http://schemas.openxmlformats.org/officeDocument/2006/relationships/image" Target="../media/image23.gif"/><Relationship Id="rId2" Type="http://schemas.openxmlformats.org/officeDocument/2006/relationships/image" Target="../media/image8.gif"/><Relationship Id="rId16" Type="http://schemas.openxmlformats.org/officeDocument/2006/relationships/image" Target="../media/image22.gif"/><Relationship Id="rId1" Type="http://schemas.openxmlformats.org/officeDocument/2006/relationships/image" Target="../media/image7.gif"/><Relationship Id="rId6" Type="http://schemas.openxmlformats.org/officeDocument/2006/relationships/image" Target="../media/image12.gif"/><Relationship Id="rId11" Type="http://schemas.openxmlformats.org/officeDocument/2006/relationships/image" Target="../media/image17.gif"/><Relationship Id="rId5" Type="http://schemas.openxmlformats.org/officeDocument/2006/relationships/image" Target="../media/image11.gif"/><Relationship Id="rId15" Type="http://schemas.openxmlformats.org/officeDocument/2006/relationships/image" Target="../media/image21.gif"/><Relationship Id="rId10" Type="http://schemas.openxmlformats.org/officeDocument/2006/relationships/image" Target="../media/image16.gif"/><Relationship Id="rId4" Type="http://schemas.openxmlformats.org/officeDocument/2006/relationships/image" Target="../media/image10.gif"/><Relationship Id="rId9" Type="http://schemas.openxmlformats.org/officeDocument/2006/relationships/image" Target="../media/image15.gif"/><Relationship Id="rId14" Type="http://schemas.openxmlformats.org/officeDocument/2006/relationships/image" Target="../media/image20.g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gif"/><Relationship Id="rId2" Type="http://schemas.openxmlformats.org/officeDocument/2006/relationships/image" Target="../media/image24.gif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358775</xdr:colOff>
      <xdr:row>0</xdr:row>
      <xdr:rowOff>177800</xdr:rowOff>
    </xdr:from>
    <xdr:to>
      <xdr:col>13</xdr:col>
      <xdr:colOff>53975</xdr:colOff>
      <xdr:row>14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8F432-B2E9-4781-B992-19757643B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158750</xdr:colOff>
      <xdr:row>8</xdr:row>
      <xdr:rowOff>76200</xdr:rowOff>
    </xdr:from>
    <xdr:to>
      <xdr:col>3</xdr:col>
      <xdr:colOff>984250</xdr:colOff>
      <xdr:row>24</xdr:row>
      <xdr:rowOff>121275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F2D64B-3397-4939-A652-372BC1FF4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2012950"/>
          <a:ext cx="3460750" cy="258507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871361</xdr:colOff>
      <xdr:row>11</xdr:row>
      <xdr:rowOff>23989</xdr:rowOff>
    </xdr:from>
    <xdr:to>
      <xdr:col>1</xdr:col>
      <xdr:colOff>558941</xdr:colOff>
      <xdr:row>16</xdr:row>
      <xdr:rowOff>131021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B75554-1E44-4897-37BD-138AA4CED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361" y="1936045"/>
          <a:ext cx="1557302" cy="918421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5</xdr:col>
      <xdr:colOff>76200</xdr:colOff>
      <xdr:row>2</xdr:row>
      <xdr:rowOff>82550</xdr:rowOff>
    </xdr:from>
    <xdr:to>
      <xdr:col>9</xdr:col>
      <xdr:colOff>353060</xdr:colOff>
      <xdr:row>9</xdr:row>
      <xdr:rowOff>69708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91E569-4F61-4977-B1D3-CF898F393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539750"/>
          <a:ext cx="2715260" cy="132207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5</xdr:col>
      <xdr:colOff>76200</xdr:colOff>
      <xdr:row>12</xdr:row>
      <xdr:rowOff>31750</xdr:rowOff>
    </xdr:from>
    <xdr:to>
      <xdr:col>9</xdr:col>
      <xdr:colOff>303530</xdr:colOff>
      <xdr:row>21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592A7E-802E-D41C-4F8A-AD1800348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2139950"/>
          <a:ext cx="2665730" cy="156845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>
    <xdr:from>
      <xdr:col>5</xdr:col>
      <xdr:colOff>174978</xdr:colOff>
      <xdr:row>25</xdr:row>
      <xdr:rowOff>31750</xdr:rowOff>
    </xdr:from>
    <xdr:to>
      <xdr:col>6</xdr:col>
      <xdr:colOff>555978</xdr:colOff>
      <xdr:row>29</xdr:row>
      <xdr:rowOff>12700</xdr:rowOff>
    </xdr:to>
    <xdr:pic>
      <xdr:nvPicPr>
        <xdr:cNvPr id="5" name="Picture 9">
          <a:extLst>
            <a:ext uri="{FF2B5EF4-FFF2-40B4-BE49-F238E27FC236}">
              <a16:creationId xmlns:a16="http://schemas.microsoft.com/office/drawing/2014/main" id="{8DBBEBA5-A6F3-F10F-92C4-406D8F5EC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1811" y="4279194"/>
          <a:ext cx="987778" cy="630062"/>
        </a:xfrm>
        <a:prstGeom prst="rect">
          <a:avLst/>
        </a:prstGeom>
        <a:noFill/>
        <a:ln w="28575"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42334</xdr:colOff>
      <xdr:row>29</xdr:row>
      <xdr:rowOff>98777</xdr:rowOff>
    </xdr:from>
    <xdr:to>
      <xdr:col>9</xdr:col>
      <xdr:colOff>576228</xdr:colOff>
      <xdr:row>33</xdr:row>
      <xdr:rowOff>61806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A0ECB7-9875-D0DD-2E72-B1A854AED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9167" y="5206999"/>
          <a:ext cx="2961005" cy="61214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17</xdr:col>
      <xdr:colOff>422729</xdr:colOff>
      <xdr:row>4</xdr:row>
      <xdr:rowOff>22497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CD5D1E-FFC3-DFF2-6E6A-EBE4E1783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2786" y="163286"/>
          <a:ext cx="1828800" cy="61214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15</xdr:col>
      <xdr:colOff>0</xdr:colOff>
      <xdr:row>9</xdr:row>
      <xdr:rowOff>81639</xdr:rowOff>
    </xdr:from>
    <xdr:to>
      <xdr:col>18</xdr:col>
      <xdr:colOff>1244812</xdr:colOff>
      <xdr:row>11</xdr:row>
      <xdr:rowOff>92253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9900E4-555D-91E8-A3CC-B0DE22B8E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2786" y="2022925"/>
          <a:ext cx="3636645" cy="46418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17</xdr:col>
      <xdr:colOff>422729</xdr:colOff>
      <xdr:row>15</xdr:row>
      <xdr:rowOff>30208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14CCAE-D6AD-D806-C05F-265963D41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5143" y="2621643"/>
          <a:ext cx="1828800" cy="64706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15</xdr:col>
      <xdr:colOff>0</xdr:colOff>
      <xdr:row>28</xdr:row>
      <xdr:rowOff>18142</xdr:rowOff>
    </xdr:from>
    <xdr:to>
      <xdr:col>18</xdr:col>
      <xdr:colOff>429986</xdr:colOff>
      <xdr:row>31</xdr:row>
      <xdr:rowOff>82550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4B19A9-82E9-CDAD-3901-F92D94C13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1214" y="5660571"/>
          <a:ext cx="2806700" cy="59055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9</xdr:col>
      <xdr:colOff>697230</xdr:colOff>
      <xdr:row>33</xdr:row>
      <xdr:rowOff>121648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0CC7CC-3585-911C-47B2-CF3B5C4AA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5842000"/>
          <a:ext cx="2602230" cy="80200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9</xdr:col>
      <xdr:colOff>1206501</xdr:colOff>
      <xdr:row>29</xdr:row>
      <xdr:rowOff>9071</xdr:rowOff>
    </xdr:from>
    <xdr:to>
      <xdr:col>10</xdr:col>
      <xdr:colOff>1577522</xdr:colOff>
      <xdr:row>30</xdr:row>
      <xdr:rowOff>85180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9A38E7-4B7B-C45C-B34C-FDEC76395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5715" y="5851071"/>
          <a:ext cx="1695450" cy="23939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9</xdr:col>
      <xdr:colOff>1206500</xdr:colOff>
      <xdr:row>34</xdr:row>
      <xdr:rowOff>9071</xdr:rowOff>
    </xdr:from>
    <xdr:to>
      <xdr:col>11</xdr:col>
      <xdr:colOff>421458</xdr:colOff>
      <xdr:row>36</xdr:row>
      <xdr:rowOff>69215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41E8F3-E78C-A4D7-3F8A-A12B1A96D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5714" y="6694714"/>
          <a:ext cx="2145030" cy="38671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9</xdr:col>
      <xdr:colOff>1242785</xdr:colOff>
      <xdr:row>41</xdr:row>
      <xdr:rowOff>54427</xdr:rowOff>
    </xdr:from>
    <xdr:to>
      <xdr:col>10</xdr:col>
      <xdr:colOff>1423306</xdr:colOff>
      <xdr:row>44</xdr:row>
      <xdr:rowOff>815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2CBBBFA-292E-3A1D-AF49-7104F83C5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1999" y="7883070"/>
          <a:ext cx="1504950" cy="43624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9</xdr:col>
      <xdr:colOff>1224643</xdr:colOff>
      <xdr:row>48</xdr:row>
      <xdr:rowOff>54428</xdr:rowOff>
    </xdr:from>
    <xdr:to>
      <xdr:col>11</xdr:col>
      <xdr:colOff>904421</xdr:colOff>
      <xdr:row>49</xdr:row>
      <xdr:rowOff>130537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5FF3C0-46B2-7771-A8B4-9D95EE381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3857" y="9026071"/>
          <a:ext cx="2609850" cy="23939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10</xdr:col>
      <xdr:colOff>72572</xdr:colOff>
      <xdr:row>53</xdr:row>
      <xdr:rowOff>63500</xdr:rowOff>
    </xdr:from>
    <xdr:to>
      <xdr:col>11</xdr:col>
      <xdr:colOff>63319</xdr:colOff>
      <xdr:row>56</xdr:row>
      <xdr:rowOff>9887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95382C6-4F4D-C96B-8027-0BEBAD52B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6215" y="9851571"/>
          <a:ext cx="1596390" cy="43624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10</xdr:col>
      <xdr:colOff>54429</xdr:colOff>
      <xdr:row>60</xdr:row>
      <xdr:rowOff>102506</xdr:rowOff>
    </xdr:from>
    <xdr:to>
      <xdr:col>10</xdr:col>
      <xdr:colOff>1271089</xdr:colOff>
      <xdr:row>62</xdr:row>
      <xdr:rowOff>56604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6C45EA8-F7C1-FCBF-9379-CBF7FA288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8072" y="11033577"/>
          <a:ext cx="1216660" cy="28067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11</xdr:col>
      <xdr:colOff>163286</xdr:colOff>
      <xdr:row>28</xdr:row>
      <xdr:rowOff>117928</xdr:rowOff>
    </xdr:from>
    <xdr:to>
      <xdr:col>13</xdr:col>
      <xdr:colOff>183062</xdr:colOff>
      <xdr:row>30</xdr:row>
      <xdr:rowOff>113846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F2CDA8D-472F-EF3B-9B9E-F93C048C7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2572" y="5760357"/>
          <a:ext cx="3031490" cy="35877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11</xdr:col>
      <xdr:colOff>571500</xdr:colOff>
      <xdr:row>33</xdr:row>
      <xdr:rowOff>63500</xdr:rowOff>
    </xdr:from>
    <xdr:to>
      <xdr:col>14</xdr:col>
      <xdr:colOff>3085</xdr:colOff>
      <xdr:row>37</xdr:row>
      <xdr:rowOff>907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DFE56C3-D094-C366-3042-A3B8943AB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0786" y="6585857"/>
          <a:ext cx="3341370" cy="59055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11</xdr:col>
      <xdr:colOff>0</xdr:colOff>
      <xdr:row>41</xdr:row>
      <xdr:rowOff>36284</xdr:rowOff>
    </xdr:from>
    <xdr:to>
      <xdr:col>13</xdr:col>
      <xdr:colOff>343626</xdr:colOff>
      <xdr:row>44</xdr:row>
      <xdr:rowOff>109037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375EC49-8C3B-93DA-26B8-DF075F978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7864927"/>
          <a:ext cx="3355340" cy="56261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11</xdr:col>
      <xdr:colOff>1006929</xdr:colOff>
      <xdr:row>48</xdr:row>
      <xdr:rowOff>18143</xdr:rowOff>
    </xdr:from>
    <xdr:to>
      <xdr:col>13</xdr:col>
      <xdr:colOff>864780</xdr:colOff>
      <xdr:row>50</xdr:row>
      <xdr:rowOff>29392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8320B30-2240-CADA-168B-ECA50EC06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6215" y="8989786"/>
          <a:ext cx="2869565" cy="33782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11</xdr:col>
      <xdr:colOff>208643</xdr:colOff>
      <xdr:row>53</xdr:row>
      <xdr:rowOff>27214</xdr:rowOff>
    </xdr:from>
    <xdr:to>
      <xdr:col>12</xdr:col>
      <xdr:colOff>935174</xdr:colOff>
      <xdr:row>57</xdr:row>
      <xdr:rowOff>14151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DE6BFFF-2EF8-CDBA-7CF2-9238E3BC4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929" y="9815285"/>
          <a:ext cx="2658745" cy="64008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11</xdr:col>
      <xdr:colOff>0</xdr:colOff>
      <xdr:row>60</xdr:row>
      <xdr:rowOff>45358</xdr:rowOff>
    </xdr:from>
    <xdr:to>
      <xdr:col>12</xdr:col>
      <xdr:colOff>684621</xdr:colOff>
      <xdr:row>63</xdr:row>
      <xdr:rowOff>123856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2801C1-BEDC-9470-500B-346AF3ED0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10976429"/>
          <a:ext cx="2616835" cy="42926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229961</xdr:colOff>
      <xdr:row>0</xdr:row>
      <xdr:rowOff>177800</xdr:rowOff>
    </xdr:from>
    <xdr:to>
      <xdr:col>14</xdr:col>
      <xdr:colOff>560161</xdr:colOff>
      <xdr:row>14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1356EC-97F9-3737-4829-98B91F73A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44450</xdr:colOff>
      <xdr:row>17</xdr:row>
      <xdr:rowOff>76200</xdr:rowOff>
    </xdr:from>
    <xdr:to>
      <xdr:col>7</xdr:col>
      <xdr:colOff>396239</xdr:colOff>
      <xdr:row>22</xdr:row>
      <xdr:rowOff>196851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0E0C18C-C71A-BEFF-7FAB-C914C94DC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2450" y="3473450"/>
          <a:ext cx="2180590" cy="111125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8</xdr:col>
      <xdr:colOff>6350</xdr:colOff>
      <xdr:row>17</xdr:row>
      <xdr:rowOff>82550</xdr:rowOff>
    </xdr:from>
    <xdr:to>
      <xdr:col>9</xdr:col>
      <xdr:colOff>570230</xdr:colOff>
      <xdr:row>21</xdr:row>
      <xdr:rowOff>158569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1D652E1-79C0-F7C8-E569-7D6D7EFE8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2750" y="3479800"/>
          <a:ext cx="1751330" cy="87249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jsu.edu/faculty/gerstman/StatPrimer/t-table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7E87-8259-4771-BBC5-EC2B02280C7B}">
  <dimension ref="A1:D19"/>
  <sheetViews>
    <sheetView tabSelected="1" workbookViewId="0"/>
  </sheetViews>
  <sheetFormatPr defaultRowHeight="12.5" x14ac:dyDescent="0.25"/>
  <cols>
    <col min="1" max="1" width="14.453125" customWidth="1"/>
    <col min="2" max="2" width="16.1796875" customWidth="1"/>
    <col min="3" max="3" width="21.54296875" customWidth="1"/>
    <col min="4" max="4" width="17" bestFit="1" customWidth="1"/>
    <col min="5" max="5" width="13.1796875" bestFit="1" customWidth="1"/>
    <col min="250" max="250" width="14.453125" customWidth="1"/>
    <col min="251" max="251" width="11.7265625" customWidth="1"/>
    <col min="506" max="506" width="14.453125" customWidth="1"/>
    <col min="507" max="507" width="11.7265625" customWidth="1"/>
    <col min="762" max="762" width="14.453125" customWidth="1"/>
    <col min="763" max="763" width="11.7265625" customWidth="1"/>
    <col min="1018" max="1018" width="14.453125" customWidth="1"/>
    <col min="1019" max="1019" width="11.7265625" customWidth="1"/>
    <col min="1274" max="1274" width="14.453125" customWidth="1"/>
    <col min="1275" max="1275" width="11.7265625" customWidth="1"/>
    <col min="1530" max="1530" width="14.453125" customWidth="1"/>
    <col min="1531" max="1531" width="11.7265625" customWidth="1"/>
    <col min="1786" max="1786" width="14.453125" customWidth="1"/>
    <col min="1787" max="1787" width="11.7265625" customWidth="1"/>
    <col min="2042" max="2042" width="14.453125" customWidth="1"/>
    <col min="2043" max="2043" width="11.7265625" customWidth="1"/>
    <col min="2298" max="2298" width="14.453125" customWidth="1"/>
    <col min="2299" max="2299" width="11.7265625" customWidth="1"/>
    <col min="2554" max="2554" width="14.453125" customWidth="1"/>
    <col min="2555" max="2555" width="11.7265625" customWidth="1"/>
    <col min="2810" max="2810" width="14.453125" customWidth="1"/>
    <col min="2811" max="2811" width="11.7265625" customWidth="1"/>
    <col min="3066" max="3066" width="14.453125" customWidth="1"/>
    <col min="3067" max="3067" width="11.7265625" customWidth="1"/>
    <col min="3322" max="3322" width="14.453125" customWidth="1"/>
    <col min="3323" max="3323" width="11.7265625" customWidth="1"/>
    <col min="3578" max="3578" width="14.453125" customWidth="1"/>
    <col min="3579" max="3579" width="11.7265625" customWidth="1"/>
    <col min="3834" max="3834" width="14.453125" customWidth="1"/>
    <col min="3835" max="3835" width="11.7265625" customWidth="1"/>
    <col min="4090" max="4090" width="14.453125" customWidth="1"/>
    <col min="4091" max="4091" width="11.7265625" customWidth="1"/>
    <col min="4346" max="4346" width="14.453125" customWidth="1"/>
    <col min="4347" max="4347" width="11.7265625" customWidth="1"/>
    <col min="4602" max="4602" width="14.453125" customWidth="1"/>
    <col min="4603" max="4603" width="11.7265625" customWidth="1"/>
    <col min="4858" max="4858" width="14.453125" customWidth="1"/>
    <col min="4859" max="4859" width="11.7265625" customWidth="1"/>
    <col min="5114" max="5114" width="14.453125" customWidth="1"/>
    <col min="5115" max="5115" width="11.7265625" customWidth="1"/>
    <col min="5370" max="5370" width="14.453125" customWidth="1"/>
    <col min="5371" max="5371" width="11.7265625" customWidth="1"/>
    <col min="5626" max="5626" width="14.453125" customWidth="1"/>
    <col min="5627" max="5627" width="11.7265625" customWidth="1"/>
    <col min="5882" max="5882" width="14.453125" customWidth="1"/>
    <col min="5883" max="5883" width="11.7265625" customWidth="1"/>
    <col min="6138" max="6138" width="14.453125" customWidth="1"/>
    <col min="6139" max="6139" width="11.7265625" customWidth="1"/>
    <col min="6394" max="6394" width="14.453125" customWidth="1"/>
    <col min="6395" max="6395" width="11.7265625" customWidth="1"/>
    <col min="6650" max="6650" width="14.453125" customWidth="1"/>
    <col min="6651" max="6651" width="11.7265625" customWidth="1"/>
    <col min="6906" max="6906" width="14.453125" customWidth="1"/>
    <col min="6907" max="6907" width="11.7265625" customWidth="1"/>
    <col min="7162" max="7162" width="14.453125" customWidth="1"/>
    <col min="7163" max="7163" width="11.7265625" customWidth="1"/>
    <col min="7418" max="7418" width="14.453125" customWidth="1"/>
    <col min="7419" max="7419" width="11.7265625" customWidth="1"/>
    <col min="7674" max="7674" width="14.453125" customWidth="1"/>
    <col min="7675" max="7675" width="11.7265625" customWidth="1"/>
    <col min="7930" max="7930" width="14.453125" customWidth="1"/>
    <col min="7931" max="7931" width="11.7265625" customWidth="1"/>
    <col min="8186" max="8186" width="14.453125" customWidth="1"/>
    <col min="8187" max="8187" width="11.7265625" customWidth="1"/>
    <col min="8442" max="8442" width="14.453125" customWidth="1"/>
    <col min="8443" max="8443" width="11.7265625" customWidth="1"/>
    <col min="8698" max="8698" width="14.453125" customWidth="1"/>
    <col min="8699" max="8699" width="11.7265625" customWidth="1"/>
    <col min="8954" max="8954" width="14.453125" customWidth="1"/>
    <col min="8955" max="8955" width="11.7265625" customWidth="1"/>
    <col min="9210" max="9210" width="14.453125" customWidth="1"/>
    <col min="9211" max="9211" width="11.7265625" customWidth="1"/>
    <col min="9466" max="9466" width="14.453125" customWidth="1"/>
    <col min="9467" max="9467" width="11.7265625" customWidth="1"/>
    <col min="9722" max="9722" width="14.453125" customWidth="1"/>
    <col min="9723" max="9723" width="11.7265625" customWidth="1"/>
    <col min="9978" max="9978" width="14.453125" customWidth="1"/>
    <col min="9979" max="9979" width="11.7265625" customWidth="1"/>
    <col min="10234" max="10234" width="14.453125" customWidth="1"/>
    <col min="10235" max="10235" width="11.7265625" customWidth="1"/>
    <col min="10490" max="10490" width="14.453125" customWidth="1"/>
    <col min="10491" max="10491" width="11.7265625" customWidth="1"/>
    <col min="10746" max="10746" width="14.453125" customWidth="1"/>
    <col min="10747" max="10747" width="11.7265625" customWidth="1"/>
    <col min="11002" max="11002" width="14.453125" customWidth="1"/>
    <col min="11003" max="11003" width="11.7265625" customWidth="1"/>
    <col min="11258" max="11258" width="14.453125" customWidth="1"/>
    <col min="11259" max="11259" width="11.7265625" customWidth="1"/>
    <col min="11514" max="11514" width="14.453125" customWidth="1"/>
    <col min="11515" max="11515" width="11.7265625" customWidth="1"/>
    <col min="11770" max="11770" width="14.453125" customWidth="1"/>
    <col min="11771" max="11771" width="11.7265625" customWidth="1"/>
    <col min="12026" max="12026" width="14.453125" customWidth="1"/>
    <col min="12027" max="12027" width="11.7265625" customWidth="1"/>
    <col min="12282" max="12282" width="14.453125" customWidth="1"/>
    <col min="12283" max="12283" width="11.7265625" customWidth="1"/>
    <col min="12538" max="12538" width="14.453125" customWidth="1"/>
    <col min="12539" max="12539" width="11.7265625" customWidth="1"/>
    <col min="12794" max="12794" width="14.453125" customWidth="1"/>
    <col min="12795" max="12795" width="11.7265625" customWidth="1"/>
    <col min="13050" max="13050" width="14.453125" customWidth="1"/>
    <col min="13051" max="13051" width="11.7265625" customWidth="1"/>
    <col min="13306" max="13306" width="14.453125" customWidth="1"/>
    <col min="13307" max="13307" width="11.7265625" customWidth="1"/>
    <col min="13562" max="13562" width="14.453125" customWidth="1"/>
    <col min="13563" max="13563" width="11.7265625" customWidth="1"/>
    <col min="13818" max="13818" width="14.453125" customWidth="1"/>
    <col min="13819" max="13819" width="11.7265625" customWidth="1"/>
    <col min="14074" max="14074" width="14.453125" customWidth="1"/>
    <col min="14075" max="14075" width="11.7265625" customWidth="1"/>
    <col min="14330" max="14330" width="14.453125" customWidth="1"/>
    <col min="14331" max="14331" width="11.7265625" customWidth="1"/>
    <col min="14586" max="14586" width="14.453125" customWidth="1"/>
    <col min="14587" max="14587" width="11.7265625" customWidth="1"/>
    <col min="14842" max="14842" width="14.453125" customWidth="1"/>
    <col min="14843" max="14843" width="11.7265625" customWidth="1"/>
    <col min="15098" max="15098" width="14.453125" customWidth="1"/>
    <col min="15099" max="15099" width="11.7265625" customWidth="1"/>
    <col min="15354" max="15354" width="14.453125" customWidth="1"/>
    <col min="15355" max="15355" width="11.7265625" customWidth="1"/>
    <col min="15610" max="15610" width="14.453125" customWidth="1"/>
    <col min="15611" max="15611" width="11.7265625" customWidth="1"/>
    <col min="15866" max="15866" width="14.453125" customWidth="1"/>
    <col min="15867" max="15867" width="11.7265625" customWidth="1"/>
    <col min="16122" max="16122" width="14.453125" customWidth="1"/>
    <col min="16123" max="16123" width="11.7265625" customWidth="1"/>
  </cols>
  <sheetData>
    <row r="1" spans="1:4" ht="32.5" x14ac:dyDescent="0.65">
      <c r="A1" s="11" t="s">
        <v>9</v>
      </c>
    </row>
    <row r="3" spans="1:4" ht="30" x14ac:dyDescent="0.25">
      <c r="B3" s="12" t="s">
        <v>15</v>
      </c>
      <c r="C3" s="12" t="s">
        <v>16</v>
      </c>
      <c r="D3" s="12" t="s">
        <v>17</v>
      </c>
    </row>
    <row r="4" spans="1:4" ht="15.5" x14ac:dyDescent="0.25">
      <c r="B4" s="13">
        <v>12</v>
      </c>
      <c r="C4" s="13">
        <v>11.98</v>
      </c>
      <c r="D4" s="13">
        <v>-0.02</v>
      </c>
    </row>
    <row r="5" spans="1:4" ht="15.5" x14ac:dyDescent="0.25">
      <c r="B5" s="13">
        <v>14</v>
      </c>
      <c r="C5" s="13">
        <v>13.99</v>
      </c>
      <c r="D5" s="13">
        <v>-0.01</v>
      </c>
    </row>
    <row r="6" spans="1:4" ht="15.5" x14ac:dyDescent="0.25">
      <c r="B6" s="13">
        <v>16</v>
      </c>
      <c r="C6" s="13">
        <v>16</v>
      </c>
      <c r="D6" s="13">
        <v>0</v>
      </c>
    </row>
    <row r="7" spans="1:4" ht="15.5" x14ac:dyDescent="0.25">
      <c r="B7" s="13">
        <v>18</v>
      </c>
      <c r="C7" s="13">
        <v>18.010000000000002</v>
      </c>
      <c r="D7" s="13">
        <v>0.01</v>
      </c>
    </row>
    <row r="8" spans="1:4" ht="15.5" x14ac:dyDescent="0.25">
      <c r="B8" s="13">
        <v>20</v>
      </c>
      <c r="C8" s="13">
        <v>20.02</v>
      </c>
      <c r="D8" s="13">
        <v>0.02</v>
      </c>
    </row>
    <row r="17" spans="1:1" x14ac:dyDescent="0.25">
      <c r="A17" s="1"/>
    </row>
    <row r="18" spans="1:1" x14ac:dyDescent="0.25">
      <c r="A18" s="1"/>
    </row>
    <row r="19" spans="1:1" x14ac:dyDescent="0.25">
      <c r="A19" s="1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6"/>
  <sheetViews>
    <sheetView workbookViewId="0"/>
  </sheetViews>
  <sheetFormatPr defaultRowHeight="12.5" x14ac:dyDescent="0.25"/>
  <cols>
    <col min="1" max="1" width="26.7265625" customWidth="1"/>
  </cols>
  <sheetData>
    <row r="1" spans="1:19" ht="23" x14ac:dyDescent="0.5">
      <c r="A1" s="3" t="s">
        <v>1</v>
      </c>
    </row>
    <row r="2" spans="1:19" ht="15.5" x14ac:dyDescent="0.3">
      <c r="F2" s="14" t="s">
        <v>18</v>
      </c>
      <c r="O2" s="44">
        <v>100.1</v>
      </c>
      <c r="P2" s="44">
        <v>100.6</v>
      </c>
      <c r="Q2" s="44">
        <v>101.5</v>
      </c>
      <c r="R2" s="44">
        <v>101.6</v>
      </c>
      <c r="S2" s="44">
        <v>101.8</v>
      </c>
    </row>
    <row r="3" spans="1:19" ht="15.5" x14ac:dyDescent="0.3">
      <c r="A3" s="1" t="s">
        <v>2</v>
      </c>
      <c r="B3" s="5">
        <v>100.3</v>
      </c>
      <c r="D3" s="2" t="s">
        <v>0</v>
      </c>
      <c r="O3" s="44">
        <v>101.9</v>
      </c>
      <c r="P3" s="44">
        <v>100.2</v>
      </c>
      <c r="Q3" s="44">
        <v>100.8</v>
      </c>
      <c r="R3" s="44">
        <v>101.3</v>
      </c>
      <c r="S3" s="44">
        <v>100</v>
      </c>
    </row>
    <row r="4" spans="1:19" ht="15.5" x14ac:dyDescent="0.25">
      <c r="A4" s="6" t="s">
        <v>3</v>
      </c>
      <c r="B4" s="8">
        <f>AVERAGE(D4:D33)</f>
        <v>100.91666666666669</v>
      </c>
      <c r="D4" s="19">
        <v>100.1</v>
      </c>
      <c r="O4" s="44">
        <v>101</v>
      </c>
      <c r="P4" s="44">
        <v>101.1</v>
      </c>
      <c r="Q4" s="44">
        <v>102</v>
      </c>
      <c r="R4" s="44">
        <v>100.5</v>
      </c>
      <c r="S4" s="44">
        <v>100.7</v>
      </c>
    </row>
    <row r="5" spans="1:19" ht="15.5" x14ac:dyDescent="0.25">
      <c r="A5" s="1" t="s">
        <v>4</v>
      </c>
      <c r="B5" s="8">
        <f>STDEV(D4:D33)</f>
        <v>0.58726915249420708</v>
      </c>
      <c r="D5" s="19">
        <v>101.9</v>
      </c>
      <c r="O5" s="44">
        <v>100.2</v>
      </c>
      <c r="P5" s="44">
        <v>101.6</v>
      </c>
      <c r="Q5" s="44">
        <v>100.9</v>
      </c>
      <c r="R5" s="44">
        <v>100.6</v>
      </c>
      <c r="S5" s="44">
        <v>100.4</v>
      </c>
    </row>
    <row r="6" spans="1:19" ht="15.5" x14ac:dyDescent="0.25">
      <c r="A6" s="1" t="s">
        <v>5</v>
      </c>
      <c r="B6" s="7">
        <v>0.1</v>
      </c>
      <c r="D6" s="19">
        <v>101</v>
      </c>
      <c r="O6" s="44">
        <v>100.6</v>
      </c>
      <c r="P6" s="44">
        <v>100.8</v>
      </c>
      <c r="Q6" s="44">
        <v>100.5</v>
      </c>
      <c r="R6" s="44">
        <v>101</v>
      </c>
      <c r="S6" s="44">
        <v>100</v>
      </c>
    </row>
    <row r="7" spans="1:19" ht="15.5" x14ac:dyDescent="0.25">
      <c r="A7" s="6" t="s">
        <v>7</v>
      </c>
      <c r="B7" s="8">
        <f>TINV(B6,COUNT(D4:D33)-1)</f>
        <v>1.6991270265334986</v>
      </c>
      <c r="C7" s="16" t="s">
        <v>22</v>
      </c>
      <c r="D7" s="19">
        <v>100.2</v>
      </c>
      <c r="O7" s="44">
        <v>101.5</v>
      </c>
      <c r="P7" s="44">
        <v>101.4</v>
      </c>
      <c r="Q7" s="44">
        <v>101.3</v>
      </c>
      <c r="R7" s="44">
        <v>100.3</v>
      </c>
      <c r="S7" s="44">
        <v>101.3</v>
      </c>
    </row>
    <row r="8" spans="1:19" ht="13" x14ac:dyDescent="0.25">
      <c r="A8" s="1" t="s">
        <v>6</v>
      </c>
      <c r="B8" s="8">
        <f>(B4-B3)/(B5/(COUNT(D4:D33)^0.5))</f>
        <v>5.7514044856663249</v>
      </c>
      <c r="C8" s="65" t="s">
        <v>22</v>
      </c>
      <c r="D8" s="19">
        <v>100.6</v>
      </c>
    </row>
    <row r="9" spans="1:19" ht="13" x14ac:dyDescent="0.25">
      <c r="A9" s="1" t="s">
        <v>8</v>
      </c>
      <c r="B9" s="8">
        <f>+B4-B3</f>
        <v>0.61666666666668846</v>
      </c>
      <c r="C9" s="18" t="s">
        <v>22</v>
      </c>
      <c r="D9" s="19">
        <v>101.5</v>
      </c>
    </row>
    <row r="10" spans="1:19" ht="13" x14ac:dyDescent="0.25">
      <c r="A10" s="1"/>
      <c r="B10" s="4"/>
      <c r="D10" s="19">
        <v>100.6</v>
      </c>
    </row>
    <row r="11" spans="1:19" ht="13" x14ac:dyDescent="0.25">
      <c r="A11" s="1"/>
      <c r="B11" s="4"/>
      <c r="D11" s="19">
        <v>100.2</v>
      </c>
    </row>
    <row r="12" spans="1:19" ht="13" x14ac:dyDescent="0.25">
      <c r="A12" s="1"/>
      <c r="B12" s="4"/>
      <c r="C12" s="18" t="s">
        <v>22</v>
      </c>
      <c r="D12" s="19">
        <v>101.1</v>
      </c>
      <c r="F12" s="14" t="s">
        <v>19</v>
      </c>
    </row>
    <row r="13" spans="1:19" ht="13" x14ac:dyDescent="0.25">
      <c r="A13" s="1"/>
      <c r="B13" s="4"/>
      <c r="D13" s="19">
        <v>101.6</v>
      </c>
    </row>
    <row r="14" spans="1:19" ht="13" x14ac:dyDescent="0.25">
      <c r="A14" s="1"/>
      <c r="B14" s="4"/>
      <c r="D14" s="19">
        <v>100.8</v>
      </c>
      <c r="K14" s="16" t="s">
        <v>22</v>
      </c>
    </row>
    <row r="15" spans="1:19" ht="13" x14ac:dyDescent="0.25">
      <c r="A15" s="1"/>
      <c r="B15" s="4"/>
      <c r="D15" s="19">
        <v>101.4</v>
      </c>
      <c r="K15" s="17" t="s">
        <v>23</v>
      </c>
    </row>
    <row r="16" spans="1:19" ht="13" x14ac:dyDescent="0.25">
      <c r="A16" s="1"/>
      <c r="B16" s="4"/>
      <c r="D16" s="19">
        <v>101.5</v>
      </c>
      <c r="K16" s="14" t="s">
        <v>24</v>
      </c>
    </row>
    <row r="17" spans="1:11" ht="13" x14ac:dyDescent="0.25">
      <c r="A17" s="1"/>
      <c r="B17" s="4"/>
      <c r="D17" s="19">
        <v>100.8</v>
      </c>
      <c r="K17" s="14" t="s">
        <v>28</v>
      </c>
    </row>
    <row r="18" spans="1:11" ht="13" x14ac:dyDescent="0.25">
      <c r="A18" s="1"/>
      <c r="B18" s="4"/>
      <c r="D18" s="19">
        <v>102</v>
      </c>
      <c r="K18" s="14" t="s">
        <v>25</v>
      </c>
    </row>
    <row r="19" spans="1:11" ht="13" x14ac:dyDescent="0.25">
      <c r="D19" s="19">
        <v>100.9</v>
      </c>
      <c r="K19" s="14">
        <f>TINV(0.1,29)</f>
        <v>1.6991270265334986</v>
      </c>
    </row>
    <row r="20" spans="1:11" ht="13" x14ac:dyDescent="0.25">
      <c r="A20" s="1"/>
      <c r="D20" s="19">
        <v>100.5</v>
      </c>
      <c r="K20" s="14" t="s">
        <v>26</v>
      </c>
    </row>
    <row r="21" spans="1:11" ht="13" x14ac:dyDescent="0.25">
      <c r="A21" s="1"/>
      <c r="B21" s="4"/>
      <c r="D21" s="19">
        <v>101.3</v>
      </c>
      <c r="K21" s="14" t="s">
        <v>27</v>
      </c>
    </row>
    <row r="22" spans="1:11" ht="13" x14ac:dyDescent="0.25">
      <c r="A22" s="1"/>
      <c r="B22" s="4"/>
      <c r="D22" s="19">
        <v>101.6</v>
      </c>
    </row>
    <row r="23" spans="1:11" ht="13" x14ac:dyDescent="0.25">
      <c r="A23" s="1"/>
      <c r="B23" s="4"/>
      <c r="D23" s="19">
        <v>101.3</v>
      </c>
      <c r="F23" s="14" t="s">
        <v>20</v>
      </c>
    </row>
    <row r="24" spans="1:11" ht="17.5" x14ac:dyDescent="0.4">
      <c r="A24" s="1"/>
      <c r="B24" s="4"/>
      <c r="D24" s="19">
        <v>100.5</v>
      </c>
      <c r="F24" s="66" t="s">
        <v>93</v>
      </c>
      <c r="H24" s="66" t="s">
        <v>94</v>
      </c>
    </row>
    <row r="25" spans="1:11" ht="13" x14ac:dyDescent="0.25">
      <c r="A25" s="1"/>
      <c r="B25" s="4"/>
      <c r="D25" s="19">
        <v>100.6</v>
      </c>
      <c r="F25" s="14" t="s">
        <v>21</v>
      </c>
    </row>
    <row r="26" spans="1:11" ht="13" x14ac:dyDescent="0.25">
      <c r="A26" s="1"/>
      <c r="B26" s="4"/>
      <c r="D26" s="19">
        <v>101</v>
      </c>
      <c r="H26" s="15" t="s">
        <v>22</v>
      </c>
    </row>
    <row r="27" spans="1:11" ht="13" x14ac:dyDescent="0.25">
      <c r="A27" s="1"/>
      <c r="B27" s="4"/>
      <c r="D27" s="19">
        <v>100.3</v>
      </c>
    </row>
    <row r="28" spans="1:11" ht="13" x14ac:dyDescent="0.25">
      <c r="A28" s="1"/>
      <c r="B28" s="4"/>
      <c r="D28" s="19">
        <v>101.8</v>
      </c>
    </row>
    <row r="29" spans="1:11" ht="13" x14ac:dyDescent="0.25">
      <c r="A29" s="1"/>
      <c r="B29" s="4"/>
      <c r="D29" s="19">
        <v>100</v>
      </c>
    </row>
    <row r="30" spans="1:11" ht="13" x14ac:dyDescent="0.25">
      <c r="A30" s="1"/>
      <c r="B30" s="4"/>
      <c r="D30" s="19">
        <v>100.7</v>
      </c>
      <c r="K30" s="15" t="s">
        <v>22</v>
      </c>
    </row>
    <row r="31" spans="1:11" ht="13" x14ac:dyDescent="0.25">
      <c r="A31" s="1"/>
      <c r="B31" s="4"/>
      <c r="D31" s="19">
        <v>100.4</v>
      </c>
    </row>
    <row r="32" spans="1:11" ht="13" x14ac:dyDescent="0.25">
      <c r="A32" s="1"/>
      <c r="B32" s="4"/>
      <c r="D32" s="19">
        <v>100</v>
      </c>
    </row>
    <row r="33" spans="1:4" ht="13" x14ac:dyDescent="0.25">
      <c r="A33" s="1"/>
      <c r="B33" s="4"/>
      <c r="D33" s="19">
        <v>101.3</v>
      </c>
    </row>
    <row r="34" spans="1:4" x14ac:dyDescent="0.25">
      <c r="A34" s="1"/>
      <c r="B34" s="4"/>
    </row>
    <row r="35" spans="1:4" x14ac:dyDescent="0.25">
      <c r="A35" s="1"/>
      <c r="B35" s="4"/>
    </row>
    <row r="36" spans="1:4" x14ac:dyDescent="0.25">
      <c r="A36" s="1"/>
      <c r="B36" s="4"/>
    </row>
    <row r="37" spans="1:4" x14ac:dyDescent="0.25">
      <c r="B37" s="4"/>
    </row>
    <row r="38" spans="1:4" x14ac:dyDescent="0.25">
      <c r="B38" s="4"/>
    </row>
    <row r="39" spans="1:4" x14ac:dyDescent="0.25">
      <c r="B39" s="4"/>
    </row>
    <row r="40" spans="1:4" x14ac:dyDescent="0.25">
      <c r="B40" s="4"/>
    </row>
    <row r="41" spans="1:4" x14ac:dyDescent="0.25">
      <c r="B41" s="4"/>
    </row>
    <row r="42" spans="1:4" x14ac:dyDescent="0.25">
      <c r="B42" s="4"/>
    </row>
    <row r="43" spans="1:4" x14ac:dyDescent="0.25">
      <c r="B43" s="4"/>
    </row>
    <row r="44" spans="1:4" x14ac:dyDescent="0.25">
      <c r="B44" s="4"/>
    </row>
    <row r="45" spans="1:4" x14ac:dyDescent="0.25">
      <c r="B45" s="4"/>
    </row>
    <row r="46" spans="1:4" x14ac:dyDescent="0.25">
      <c r="B46" s="4"/>
    </row>
    <row r="47" spans="1:4" x14ac:dyDescent="0.25">
      <c r="B47" s="4"/>
    </row>
    <row r="48" spans="1:4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</sheetData>
  <phoneticPr fontId="0" type="noConversion"/>
  <hyperlinks>
    <hyperlink ref="K15" r:id="rId1" xr:uid="{F74E7742-0C54-4E8C-803C-E35EFBC55866}"/>
  </hyperlinks>
  <pageMargins left="0.75" right="0.75" top="1" bottom="1" header="0.5" footer="0.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8404-D0D5-4F2A-809D-2F7627FBB759}">
  <dimension ref="A2:S65"/>
  <sheetViews>
    <sheetView zoomScale="60" zoomScaleNormal="60" workbookViewId="0">
      <selection activeCell="N57" sqref="N57"/>
    </sheetView>
  </sheetViews>
  <sheetFormatPr defaultRowHeight="12.5" x14ac:dyDescent="0.25"/>
  <cols>
    <col min="1" max="1" width="5.453125" bestFit="1" customWidth="1"/>
    <col min="2" max="7" width="10.1796875" bestFit="1" customWidth="1"/>
    <col min="9" max="9" width="27.26953125" customWidth="1"/>
    <col min="10" max="10" width="18.90625" customWidth="1"/>
    <col min="11" max="11" width="23" customWidth="1"/>
    <col min="12" max="12" width="27.6328125" customWidth="1"/>
    <col min="13" max="13" width="15.453125" bestFit="1" customWidth="1"/>
    <col min="14" max="14" width="12.90625" bestFit="1" customWidth="1"/>
    <col min="15" max="15" width="6.1796875" customWidth="1"/>
    <col min="16" max="16" width="11.36328125" customWidth="1"/>
    <col min="18" max="18" width="13.90625" customWidth="1"/>
    <col min="19" max="19" width="19.7265625" customWidth="1"/>
  </cols>
  <sheetData>
    <row r="2" spans="1:19" ht="15" x14ac:dyDescent="0.25">
      <c r="A2" s="67" t="s">
        <v>57</v>
      </c>
      <c r="B2" s="70" t="s">
        <v>58</v>
      </c>
      <c r="C2" s="71"/>
      <c r="D2" s="71"/>
      <c r="E2" s="71"/>
      <c r="F2" s="71"/>
      <c r="G2" s="72"/>
      <c r="I2" s="20" t="s">
        <v>50</v>
      </c>
      <c r="J2" s="20" t="s">
        <v>51</v>
      </c>
      <c r="K2" s="20" t="s">
        <v>52</v>
      </c>
      <c r="L2" s="20" t="s">
        <v>53</v>
      </c>
      <c r="M2" s="20" t="s">
        <v>30</v>
      </c>
    </row>
    <row r="3" spans="1:19" ht="15.5" x14ac:dyDescent="0.25">
      <c r="A3" s="68"/>
      <c r="B3" s="70" t="s">
        <v>59</v>
      </c>
      <c r="C3" s="72"/>
      <c r="D3" s="70" t="s">
        <v>60</v>
      </c>
      <c r="E3" s="72"/>
      <c r="F3" s="70" t="s">
        <v>61</v>
      </c>
      <c r="G3" s="72"/>
      <c r="I3" s="21" t="s">
        <v>31</v>
      </c>
      <c r="J3" s="21" t="s">
        <v>32</v>
      </c>
      <c r="K3" s="21" t="s">
        <v>33</v>
      </c>
      <c r="L3" s="21" t="s">
        <v>34</v>
      </c>
      <c r="M3" s="21" t="s">
        <v>35</v>
      </c>
    </row>
    <row r="4" spans="1:19" ht="15.5" x14ac:dyDescent="0.25">
      <c r="A4" s="69"/>
      <c r="B4" s="12" t="s">
        <v>10</v>
      </c>
      <c r="C4" s="12" t="s">
        <v>11</v>
      </c>
      <c r="D4" s="12" t="s">
        <v>10</v>
      </c>
      <c r="E4" s="12" t="s">
        <v>11</v>
      </c>
      <c r="F4" s="12" t="s">
        <v>10</v>
      </c>
      <c r="G4" s="12" t="s">
        <v>11</v>
      </c>
      <c r="I4" s="21" t="s">
        <v>36</v>
      </c>
      <c r="J4" s="21" t="s">
        <v>37</v>
      </c>
      <c r="K4" s="21" t="s">
        <v>38</v>
      </c>
      <c r="L4" s="21" t="s">
        <v>39</v>
      </c>
      <c r="M4" s="21" t="s">
        <v>40</v>
      </c>
    </row>
    <row r="5" spans="1:19" ht="15.5" x14ac:dyDescent="0.25">
      <c r="A5" s="13">
        <v>1</v>
      </c>
      <c r="B5" s="13">
        <v>65.2</v>
      </c>
      <c r="C5" s="13">
        <v>60.1</v>
      </c>
      <c r="D5" s="13">
        <v>62.9</v>
      </c>
      <c r="E5" s="13">
        <v>56.3</v>
      </c>
      <c r="F5" s="13">
        <v>71.599999999999994</v>
      </c>
      <c r="G5" s="13">
        <v>60.6</v>
      </c>
      <c r="I5" s="73" t="s">
        <v>56</v>
      </c>
      <c r="J5" s="73" t="s">
        <v>41</v>
      </c>
      <c r="K5" s="73" t="s">
        <v>42</v>
      </c>
      <c r="L5" s="73" t="s">
        <v>55</v>
      </c>
      <c r="M5" s="73" t="s">
        <v>43</v>
      </c>
      <c r="P5" s="24" t="s">
        <v>31</v>
      </c>
      <c r="Q5" s="24" t="s">
        <v>29</v>
      </c>
      <c r="R5" s="24" t="s">
        <v>66</v>
      </c>
      <c r="S5" s="24" t="s">
        <v>67</v>
      </c>
    </row>
    <row r="6" spans="1:19" ht="15.5" x14ac:dyDescent="0.25">
      <c r="A6" s="13">
        <v>2</v>
      </c>
      <c r="B6" s="13">
        <v>85.8</v>
      </c>
      <c r="C6" s="13">
        <v>86.3</v>
      </c>
      <c r="D6" s="13">
        <v>85.7</v>
      </c>
      <c r="E6" s="13">
        <v>80.5</v>
      </c>
      <c r="F6" s="13">
        <v>92</v>
      </c>
      <c r="G6" s="13">
        <v>87.4</v>
      </c>
      <c r="I6" s="74"/>
      <c r="J6" s="74"/>
      <c r="K6" s="74"/>
      <c r="L6" s="74"/>
      <c r="M6" s="74"/>
      <c r="P6" s="26" t="s">
        <v>59</v>
      </c>
      <c r="Q6" s="25">
        <f>SUM(B5:C14)</f>
        <v>1710.2000000000005</v>
      </c>
      <c r="R6" s="25">
        <f>Q6^2</f>
        <v>2924784.0400000019</v>
      </c>
      <c r="S6" s="25">
        <f>R6/($I$11*$I$12)</f>
        <v>146239.20200000011</v>
      </c>
    </row>
    <row r="7" spans="1:19" ht="15.5" x14ac:dyDescent="0.25">
      <c r="A7" s="13">
        <v>3</v>
      </c>
      <c r="B7" s="13">
        <v>100.2</v>
      </c>
      <c r="C7" s="13">
        <v>94.8</v>
      </c>
      <c r="D7" s="13">
        <v>100.1</v>
      </c>
      <c r="E7" s="13">
        <v>94.5</v>
      </c>
      <c r="F7" s="13">
        <v>107.3</v>
      </c>
      <c r="G7" s="13">
        <v>104.4</v>
      </c>
      <c r="I7" s="21" t="s">
        <v>44</v>
      </c>
      <c r="J7" s="21" t="s">
        <v>45</v>
      </c>
      <c r="K7" s="21" t="s">
        <v>46</v>
      </c>
      <c r="L7" s="21" t="s">
        <v>54</v>
      </c>
      <c r="M7" s="21"/>
      <c r="P7" s="27" t="s">
        <v>60</v>
      </c>
      <c r="Q7" s="25">
        <f>SUM(D5:E14)</f>
        <v>1657.7000000000003</v>
      </c>
      <c r="R7" s="25">
        <f t="shared" ref="R7:R8" si="0">Q7^2</f>
        <v>2747969.290000001</v>
      </c>
      <c r="S7" s="25">
        <f t="shared" ref="S7:S8" si="1">R7/($I$11*$I$12)</f>
        <v>137398.46450000006</v>
      </c>
    </row>
    <row r="8" spans="1:19" ht="15.5" x14ac:dyDescent="0.25">
      <c r="A8" s="13">
        <v>4</v>
      </c>
      <c r="B8" s="13">
        <v>85</v>
      </c>
      <c r="C8" s="13">
        <v>95.1</v>
      </c>
      <c r="D8" s="13">
        <v>84.8</v>
      </c>
      <c r="E8" s="13">
        <v>90.3</v>
      </c>
      <c r="F8" s="13">
        <v>92.3</v>
      </c>
      <c r="G8" s="13">
        <v>94.6</v>
      </c>
      <c r="I8" s="21" t="s">
        <v>47</v>
      </c>
      <c r="J8" s="21" t="s">
        <v>48</v>
      </c>
      <c r="K8" s="21" t="s">
        <v>49</v>
      </c>
      <c r="L8" s="21"/>
      <c r="M8" s="21"/>
      <c r="P8" s="26" t="s">
        <v>61</v>
      </c>
      <c r="Q8" s="25">
        <f>SUM(F5:G14)</f>
        <v>1798</v>
      </c>
      <c r="R8" s="25">
        <f t="shared" si="0"/>
        <v>3232804</v>
      </c>
      <c r="S8" s="25">
        <f t="shared" si="1"/>
        <v>161640.20000000001</v>
      </c>
    </row>
    <row r="9" spans="1:19" ht="15.5" x14ac:dyDescent="0.3">
      <c r="A9" s="13">
        <v>5</v>
      </c>
      <c r="B9" s="13">
        <v>54.7</v>
      </c>
      <c r="C9" s="13">
        <v>65.8</v>
      </c>
      <c r="D9" s="13">
        <v>51.7</v>
      </c>
      <c r="E9" s="13">
        <v>60</v>
      </c>
      <c r="F9" s="13">
        <v>58.9</v>
      </c>
      <c r="G9" s="13">
        <v>67.2</v>
      </c>
      <c r="R9" s="2" t="s">
        <v>47</v>
      </c>
      <c r="S9">
        <f>SUM(S6:S8)</f>
        <v>445277.86650000018</v>
      </c>
    </row>
    <row r="10" spans="1:19" ht="17.5" x14ac:dyDescent="0.25">
      <c r="A10" s="13">
        <v>6</v>
      </c>
      <c r="B10" s="13">
        <v>98.7</v>
      </c>
      <c r="C10" s="13">
        <v>90.2</v>
      </c>
      <c r="D10" s="13">
        <v>92.7</v>
      </c>
      <c r="E10" s="13">
        <v>87.2</v>
      </c>
      <c r="F10" s="13">
        <v>98.9</v>
      </c>
      <c r="G10" s="13">
        <v>93.5</v>
      </c>
      <c r="I10">
        <f>COUNTA(B3:G3)</f>
        <v>3</v>
      </c>
      <c r="J10" s="23" t="s">
        <v>62</v>
      </c>
    </row>
    <row r="11" spans="1:19" ht="17.5" x14ac:dyDescent="0.25">
      <c r="A11" s="13">
        <v>7</v>
      </c>
      <c r="B11" s="13">
        <v>94.5</v>
      </c>
      <c r="C11" s="13">
        <v>94.5</v>
      </c>
      <c r="D11" s="13">
        <v>91</v>
      </c>
      <c r="E11" s="13">
        <v>93.4</v>
      </c>
      <c r="F11" s="13">
        <v>95.4</v>
      </c>
      <c r="G11" s="13">
        <v>103.3</v>
      </c>
      <c r="I11">
        <f>COUNTA(A5:A14)</f>
        <v>10</v>
      </c>
      <c r="J11" s="23" t="s">
        <v>63</v>
      </c>
    </row>
    <row r="12" spans="1:19" ht="17.5" x14ac:dyDescent="0.25">
      <c r="A12" s="13">
        <v>8</v>
      </c>
      <c r="B12" s="13">
        <v>87.2</v>
      </c>
      <c r="C12" s="13">
        <v>82.4</v>
      </c>
      <c r="D12" s="13">
        <v>83.9</v>
      </c>
      <c r="E12" s="13">
        <v>78.8</v>
      </c>
      <c r="F12" s="13">
        <v>93</v>
      </c>
      <c r="G12" s="13">
        <v>85.8</v>
      </c>
      <c r="I12">
        <f>COUNTA(B4:C4)</f>
        <v>2</v>
      </c>
      <c r="J12" s="23" t="s">
        <v>64</v>
      </c>
    </row>
    <row r="13" spans="1:19" ht="17.5" x14ac:dyDescent="0.25">
      <c r="A13" s="13">
        <v>9</v>
      </c>
      <c r="B13" s="13">
        <v>82.4</v>
      </c>
      <c r="C13" s="13">
        <v>82.2</v>
      </c>
      <c r="D13" s="13">
        <v>80.7</v>
      </c>
      <c r="E13" s="13">
        <v>80.3</v>
      </c>
      <c r="F13" s="13">
        <v>87.9</v>
      </c>
      <c r="G13" s="13">
        <v>88.1</v>
      </c>
      <c r="I13">
        <f>COUNTA(B5:G14)</f>
        <v>60</v>
      </c>
      <c r="J13" s="23" t="s">
        <v>65</v>
      </c>
    </row>
    <row r="14" spans="1:19" ht="15.5" x14ac:dyDescent="0.25">
      <c r="A14" s="13">
        <v>10</v>
      </c>
      <c r="B14" s="13">
        <v>100.2</v>
      </c>
      <c r="C14" s="13">
        <v>104.9</v>
      </c>
      <c r="D14" s="13">
        <v>99.7</v>
      </c>
      <c r="E14" s="13">
        <v>103.2</v>
      </c>
      <c r="F14" s="13">
        <v>104.3</v>
      </c>
      <c r="G14" s="13">
        <v>111.5</v>
      </c>
    </row>
    <row r="15" spans="1:19" ht="15" x14ac:dyDescent="0.25">
      <c r="I15" s="20" t="s">
        <v>50</v>
      </c>
      <c r="J15" s="20" t="s">
        <v>51</v>
      </c>
      <c r="K15" s="20" t="s">
        <v>52</v>
      </c>
      <c r="L15" s="20" t="s">
        <v>53</v>
      </c>
      <c r="M15" s="41" t="s">
        <v>30</v>
      </c>
      <c r="N15" s="24" t="s">
        <v>68</v>
      </c>
    </row>
    <row r="16" spans="1:19" ht="15.5" x14ac:dyDescent="0.25">
      <c r="B16" s="14"/>
      <c r="C16" s="14"/>
      <c r="D16" s="14"/>
      <c r="E16" s="14"/>
      <c r="F16" s="14"/>
      <c r="G16" s="14"/>
      <c r="I16" s="21" t="s">
        <v>31</v>
      </c>
      <c r="J16" s="39">
        <f>S9-SUM(B5:G14)^2/I13</f>
        <v>502.48633333371254</v>
      </c>
      <c r="K16" s="39">
        <f>I10-1</f>
        <v>2</v>
      </c>
      <c r="L16" s="39">
        <f>J16/K16</f>
        <v>251.24316666685627</v>
      </c>
      <c r="M16" s="43">
        <f>L16/$L$19</f>
        <v>13.783994586843546</v>
      </c>
      <c r="N16" s="27">
        <v>5.7000000000000003E-5</v>
      </c>
    </row>
    <row r="17" spans="1:19" ht="15.5" x14ac:dyDescent="0.25">
      <c r="A17" s="67" t="s">
        <v>57</v>
      </c>
      <c r="B17" s="70" t="s">
        <v>58</v>
      </c>
      <c r="C17" s="71"/>
      <c r="D17" s="71"/>
      <c r="E17" s="71"/>
      <c r="F17" s="71"/>
      <c r="G17" s="72"/>
      <c r="I17" s="21" t="s">
        <v>36</v>
      </c>
      <c r="J17" s="39">
        <f>S28-SUM(B5:G14)^2/I13</f>
        <v>11545.491500000237</v>
      </c>
      <c r="K17" s="39">
        <f>I11-1</f>
        <v>9</v>
      </c>
      <c r="L17" s="39">
        <f t="shared" ref="L17:L19" si="2">J17/K17</f>
        <v>1282.8323888889151</v>
      </c>
      <c r="M17" s="43">
        <f t="shared" ref="M17:M18" si="3">L17/$L$19</f>
        <v>70.380241336947961</v>
      </c>
      <c r="N17" s="27">
        <v>0</v>
      </c>
      <c r="P17" s="24" t="s">
        <v>57</v>
      </c>
      <c r="Q17" s="24" t="s">
        <v>29</v>
      </c>
      <c r="R17" s="24" t="s">
        <v>66</v>
      </c>
      <c r="S17" s="24" t="s">
        <v>69</v>
      </c>
    </row>
    <row r="18" spans="1:19" ht="15.5" customHeight="1" x14ac:dyDescent="0.25">
      <c r="A18" s="68"/>
      <c r="B18" s="70" t="s">
        <v>59</v>
      </c>
      <c r="C18" s="72"/>
      <c r="D18" s="70" t="s">
        <v>60</v>
      </c>
      <c r="E18" s="72"/>
      <c r="F18" s="70" t="s">
        <v>61</v>
      </c>
      <c r="G18" s="72"/>
      <c r="I18" s="22" t="s">
        <v>56</v>
      </c>
      <c r="J18" s="40">
        <f>S64-SUM(B5:G14)^2/I13-J16-J17</f>
        <v>35.61699999962002</v>
      </c>
      <c r="K18" s="40">
        <f>K16*K17</f>
        <v>18</v>
      </c>
      <c r="L18" s="39">
        <f t="shared" si="2"/>
        <v>1.9787222222011123</v>
      </c>
      <c r="M18" s="43">
        <f t="shared" si="3"/>
        <v>0.10855895808642192</v>
      </c>
      <c r="N18" s="27">
        <v>0.999996</v>
      </c>
      <c r="P18" s="27">
        <v>1</v>
      </c>
      <c r="Q18" s="25">
        <f t="shared" ref="Q18:Q27" si="4">SUM(B5:G5)</f>
        <v>376.70000000000005</v>
      </c>
      <c r="R18" s="25">
        <f>Q18^2</f>
        <v>141902.89000000004</v>
      </c>
      <c r="S18" s="25">
        <f>R18/($I$10*$I$12)</f>
        <v>23650.481666666674</v>
      </c>
    </row>
    <row r="19" spans="1:19" ht="15.5" x14ac:dyDescent="0.25">
      <c r="A19" s="69"/>
      <c r="B19" s="12" t="s">
        <v>71</v>
      </c>
      <c r="C19" s="12" t="s">
        <v>72</v>
      </c>
      <c r="D19" s="12" t="s">
        <v>71</v>
      </c>
      <c r="E19" s="12" t="s">
        <v>72</v>
      </c>
      <c r="F19" s="12" t="s">
        <v>71</v>
      </c>
      <c r="G19" s="12" t="s">
        <v>72</v>
      </c>
      <c r="I19" s="21" t="s">
        <v>44</v>
      </c>
      <c r="J19" s="39">
        <f>J20-SUM(J16:J18)</f>
        <v>546.81500000006054</v>
      </c>
      <c r="K19" s="39">
        <f>I10*I11*(I12-1)</f>
        <v>30</v>
      </c>
      <c r="L19" s="39">
        <f t="shared" si="2"/>
        <v>18.227166666668683</v>
      </c>
      <c r="M19" s="42"/>
      <c r="N19" s="25"/>
      <c r="P19" s="27">
        <v>2</v>
      </c>
      <c r="Q19" s="25">
        <f t="shared" si="4"/>
        <v>517.70000000000005</v>
      </c>
      <c r="R19" s="25">
        <f t="shared" ref="R19:R27" si="5">Q19^2</f>
        <v>268013.29000000004</v>
      </c>
      <c r="S19" s="25">
        <f t="shared" ref="S19:S27" si="6">R19/($I$10*$I$12)</f>
        <v>44668.881666666675</v>
      </c>
    </row>
    <row r="20" spans="1:19" ht="15.5" x14ac:dyDescent="0.25">
      <c r="A20" s="13">
        <v>1</v>
      </c>
      <c r="B20" s="38">
        <f>B5^2</f>
        <v>4251.04</v>
      </c>
      <c r="C20" s="38">
        <f t="shared" ref="C20:G20" si="7">C5^2</f>
        <v>3612.01</v>
      </c>
      <c r="D20" s="38">
        <f t="shared" si="7"/>
        <v>3956.41</v>
      </c>
      <c r="E20" s="38">
        <f t="shared" si="7"/>
        <v>3169.6899999999996</v>
      </c>
      <c r="F20" s="38">
        <f t="shared" si="7"/>
        <v>5126.5599999999995</v>
      </c>
      <c r="G20" s="38">
        <f t="shared" si="7"/>
        <v>3672.36</v>
      </c>
      <c r="I20" s="21" t="s">
        <v>47</v>
      </c>
      <c r="J20" s="39">
        <f>SUM(B20:G29)-SUM(B5:G14)^2/I13</f>
        <v>12630.40983333363</v>
      </c>
      <c r="K20" s="39">
        <f>I13-1</f>
        <v>59</v>
      </c>
      <c r="L20" s="21"/>
      <c r="M20" s="42"/>
      <c r="N20" s="25"/>
      <c r="P20" s="27">
        <v>3</v>
      </c>
      <c r="Q20" s="25">
        <f t="shared" si="4"/>
        <v>601.30000000000007</v>
      </c>
      <c r="R20" s="25">
        <f t="shared" si="5"/>
        <v>361561.69000000006</v>
      </c>
      <c r="S20" s="25">
        <f t="shared" si="6"/>
        <v>60260.281666666677</v>
      </c>
    </row>
    <row r="21" spans="1:19" ht="15.5" x14ac:dyDescent="0.25">
      <c r="A21" s="13">
        <v>2</v>
      </c>
      <c r="B21" s="38">
        <f t="shared" ref="B21:G21" si="8">B6^2</f>
        <v>7361.6399999999994</v>
      </c>
      <c r="C21" s="38">
        <f t="shared" si="8"/>
        <v>7447.69</v>
      </c>
      <c r="D21" s="38">
        <f t="shared" si="8"/>
        <v>7344.4900000000007</v>
      </c>
      <c r="E21" s="38">
        <f t="shared" si="8"/>
        <v>6480.25</v>
      </c>
      <c r="F21" s="38">
        <f t="shared" si="8"/>
        <v>8464</v>
      </c>
      <c r="G21" s="38">
        <f t="shared" si="8"/>
        <v>7638.7600000000011</v>
      </c>
      <c r="P21" s="27">
        <v>4</v>
      </c>
      <c r="Q21" s="25">
        <f t="shared" si="4"/>
        <v>542.1</v>
      </c>
      <c r="R21" s="25">
        <f t="shared" si="5"/>
        <v>293872.41000000003</v>
      </c>
      <c r="S21" s="25">
        <f t="shared" si="6"/>
        <v>48978.735000000008</v>
      </c>
    </row>
    <row r="22" spans="1:19" ht="15.5" x14ac:dyDescent="0.25">
      <c r="A22" s="13">
        <v>3</v>
      </c>
      <c r="B22" s="38">
        <f t="shared" ref="B22:G22" si="9">B7^2</f>
        <v>10040.040000000001</v>
      </c>
      <c r="C22" s="38">
        <f t="shared" si="9"/>
        <v>8987.0399999999991</v>
      </c>
      <c r="D22" s="38">
        <f t="shared" si="9"/>
        <v>10020.009999999998</v>
      </c>
      <c r="E22" s="38">
        <f t="shared" si="9"/>
        <v>8930.25</v>
      </c>
      <c r="F22" s="38">
        <f t="shared" si="9"/>
        <v>11513.289999999999</v>
      </c>
      <c r="G22" s="38">
        <f t="shared" si="9"/>
        <v>10899.36</v>
      </c>
      <c r="P22" s="27">
        <v>5</v>
      </c>
      <c r="Q22" s="25">
        <f t="shared" si="4"/>
        <v>358.29999999999995</v>
      </c>
      <c r="R22" s="25">
        <f t="shared" si="5"/>
        <v>128378.88999999997</v>
      </c>
      <c r="S22" s="25">
        <f t="shared" si="6"/>
        <v>21396.481666666663</v>
      </c>
    </row>
    <row r="23" spans="1:19" ht="15.5" x14ac:dyDescent="0.25">
      <c r="A23" s="13">
        <v>4</v>
      </c>
      <c r="B23" s="38">
        <f t="shared" ref="B23:G23" si="10">B8^2</f>
        <v>7225</v>
      </c>
      <c r="C23" s="38">
        <f t="shared" si="10"/>
        <v>9044.0099999999984</v>
      </c>
      <c r="D23" s="38">
        <f t="shared" si="10"/>
        <v>7191.04</v>
      </c>
      <c r="E23" s="38">
        <f t="shared" si="10"/>
        <v>8154.0899999999992</v>
      </c>
      <c r="F23" s="38">
        <f t="shared" si="10"/>
        <v>8519.2899999999991</v>
      </c>
      <c r="G23" s="38">
        <f t="shared" si="10"/>
        <v>8949.159999999998</v>
      </c>
      <c r="I23" s="24" t="s">
        <v>50</v>
      </c>
      <c r="J23" s="24" t="s">
        <v>51</v>
      </c>
      <c r="K23" s="24" t="s">
        <v>52</v>
      </c>
      <c r="L23" s="24" t="s">
        <v>53</v>
      </c>
      <c r="M23" s="24" t="s">
        <v>30</v>
      </c>
      <c r="N23" s="24" t="s">
        <v>68</v>
      </c>
      <c r="O23" s="30"/>
      <c r="P23" s="27">
        <v>6</v>
      </c>
      <c r="Q23" s="25">
        <f t="shared" si="4"/>
        <v>561.20000000000005</v>
      </c>
      <c r="R23" s="25">
        <f t="shared" si="5"/>
        <v>314945.44000000006</v>
      </c>
      <c r="S23" s="25">
        <f t="shared" si="6"/>
        <v>52490.906666666677</v>
      </c>
    </row>
    <row r="24" spans="1:19" ht="15.5" x14ac:dyDescent="0.25">
      <c r="A24" s="13">
        <v>5</v>
      </c>
      <c r="B24" s="38">
        <f t="shared" ref="B24:G24" si="11">B9^2</f>
        <v>2992.09</v>
      </c>
      <c r="C24" s="38">
        <f t="shared" si="11"/>
        <v>4329.6399999999994</v>
      </c>
      <c r="D24" s="38">
        <f t="shared" si="11"/>
        <v>2672.8900000000003</v>
      </c>
      <c r="E24" s="38">
        <f t="shared" si="11"/>
        <v>3600</v>
      </c>
      <c r="F24" s="38">
        <f t="shared" si="11"/>
        <v>3469.21</v>
      </c>
      <c r="G24" s="38">
        <f t="shared" si="11"/>
        <v>4515.84</v>
      </c>
      <c r="I24" s="28" t="s">
        <v>31</v>
      </c>
      <c r="J24" s="27">
        <v>502.5</v>
      </c>
      <c r="K24" s="27">
        <v>2</v>
      </c>
      <c r="L24" s="27">
        <v>251.3</v>
      </c>
      <c r="M24" s="27">
        <v>13.8</v>
      </c>
      <c r="N24" s="27">
        <v>5.7000000000000003E-5</v>
      </c>
      <c r="O24" s="31"/>
      <c r="P24" s="27">
        <v>7</v>
      </c>
      <c r="Q24" s="25">
        <f t="shared" si="4"/>
        <v>572.09999999999991</v>
      </c>
      <c r="R24" s="25">
        <f t="shared" si="5"/>
        <v>327298.40999999992</v>
      </c>
      <c r="S24" s="25">
        <f t="shared" si="6"/>
        <v>54549.734999999986</v>
      </c>
    </row>
    <row r="25" spans="1:19" ht="15.5" x14ac:dyDescent="0.25">
      <c r="A25" s="13">
        <v>6</v>
      </c>
      <c r="B25" s="38">
        <f t="shared" ref="B25:G25" si="12">B10^2</f>
        <v>9741.69</v>
      </c>
      <c r="C25" s="38">
        <f t="shared" si="12"/>
        <v>8136.0400000000009</v>
      </c>
      <c r="D25" s="38">
        <f t="shared" si="12"/>
        <v>8593.2900000000009</v>
      </c>
      <c r="E25" s="38">
        <f t="shared" si="12"/>
        <v>7603.84</v>
      </c>
      <c r="F25" s="38">
        <f t="shared" si="12"/>
        <v>9781.2100000000009</v>
      </c>
      <c r="G25" s="38">
        <f t="shared" si="12"/>
        <v>8742.25</v>
      </c>
      <c r="I25" s="28" t="s">
        <v>36</v>
      </c>
      <c r="J25" s="29">
        <v>11545.5</v>
      </c>
      <c r="K25" s="27">
        <v>9</v>
      </c>
      <c r="L25" s="29">
        <v>1282.8</v>
      </c>
      <c r="M25" s="27">
        <v>70.400000000000006</v>
      </c>
      <c r="N25" s="27">
        <v>0</v>
      </c>
      <c r="O25" s="31"/>
      <c r="P25" s="27">
        <v>8</v>
      </c>
      <c r="Q25" s="25">
        <f t="shared" si="4"/>
        <v>511.1</v>
      </c>
      <c r="R25" s="25">
        <f t="shared" si="5"/>
        <v>261223.21000000002</v>
      </c>
      <c r="S25" s="25">
        <f t="shared" si="6"/>
        <v>43537.201666666668</v>
      </c>
    </row>
    <row r="26" spans="1:19" ht="15.5" x14ac:dyDescent="0.25">
      <c r="A26" s="13">
        <v>7</v>
      </c>
      <c r="B26" s="38">
        <f t="shared" ref="B26:G26" si="13">B11^2</f>
        <v>8930.25</v>
      </c>
      <c r="C26" s="38">
        <f t="shared" si="13"/>
        <v>8930.25</v>
      </c>
      <c r="D26" s="38">
        <f t="shared" si="13"/>
        <v>8281</v>
      </c>
      <c r="E26" s="38">
        <f t="shared" si="13"/>
        <v>8723.5600000000013</v>
      </c>
      <c r="F26" s="38">
        <f t="shared" si="13"/>
        <v>9101.1600000000017</v>
      </c>
      <c r="G26" s="38">
        <f t="shared" si="13"/>
        <v>10670.89</v>
      </c>
      <c r="I26" s="22" t="s">
        <v>56</v>
      </c>
      <c r="J26" s="27">
        <v>35.6</v>
      </c>
      <c r="K26" s="27">
        <v>18</v>
      </c>
      <c r="L26" s="27">
        <v>1.98</v>
      </c>
      <c r="M26" s="27">
        <v>0.11</v>
      </c>
      <c r="N26" s="27">
        <v>0.999996</v>
      </c>
      <c r="O26" s="31"/>
      <c r="P26" s="27">
        <v>9</v>
      </c>
      <c r="Q26" s="25">
        <f t="shared" si="4"/>
        <v>501.6</v>
      </c>
      <c r="R26" s="25">
        <f t="shared" si="5"/>
        <v>251602.56000000003</v>
      </c>
      <c r="S26" s="25">
        <f t="shared" si="6"/>
        <v>41933.760000000002</v>
      </c>
    </row>
    <row r="27" spans="1:19" ht="15.5" x14ac:dyDescent="0.25">
      <c r="A27" s="13">
        <v>8</v>
      </c>
      <c r="B27" s="38">
        <f t="shared" ref="B27:G27" si="14">B12^2</f>
        <v>7603.84</v>
      </c>
      <c r="C27" s="38">
        <f t="shared" si="14"/>
        <v>6789.7600000000011</v>
      </c>
      <c r="D27" s="38">
        <f t="shared" si="14"/>
        <v>7039.2100000000009</v>
      </c>
      <c r="E27" s="38">
        <f t="shared" si="14"/>
        <v>6209.44</v>
      </c>
      <c r="F27" s="38">
        <f t="shared" si="14"/>
        <v>8649</v>
      </c>
      <c r="G27" s="38">
        <f t="shared" si="14"/>
        <v>7361.6399999999994</v>
      </c>
      <c r="I27" s="28" t="s">
        <v>44</v>
      </c>
      <c r="J27" s="27">
        <v>546.79999999999995</v>
      </c>
      <c r="K27" s="27">
        <v>30</v>
      </c>
      <c r="L27" s="27">
        <v>18.2</v>
      </c>
      <c r="M27" s="27"/>
      <c r="N27" s="27"/>
      <c r="O27" s="31"/>
      <c r="P27" s="27">
        <v>10</v>
      </c>
      <c r="Q27" s="25">
        <f t="shared" si="4"/>
        <v>623.79999999999995</v>
      </c>
      <c r="R27" s="25">
        <f t="shared" si="5"/>
        <v>389126.43999999994</v>
      </c>
      <c r="S27" s="25">
        <f t="shared" si="6"/>
        <v>64854.406666666655</v>
      </c>
    </row>
    <row r="28" spans="1:19" ht="15.5" x14ac:dyDescent="0.3">
      <c r="A28" s="13">
        <v>9</v>
      </c>
      <c r="B28" s="38">
        <f t="shared" ref="B28:G28" si="15">B13^2</f>
        <v>6789.7600000000011</v>
      </c>
      <c r="C28" s="38">
        <f t="shared" si="15"/>
        <v>6756.84</v>
      </c>
      <c r="D28" s="38">
        <f t="shared" si="15"/>
        <v>6512.4900000000007</v>
      </c>
      <c r="E28" s="38">
        <f t="shared" si="15"/>
        <v>6448.0899999999992</v>
      </c>
      <c r="F28" s="38">
        <f t="shared" si="15"/>
        <v>7726.4100000000008</v>
      </c>
      <c r="G28" s="38">
        <f t="shared" si="15"/>
        <v>7761.6099999999988</v>
      </c>
      <c r="I28" s="28" t="s">
        <v>47</v>
      </c>
      <c r="J28" s="29">
        <v>12630.4</v>
      </c>
      <c r="K28" s="27">
        <v>59</v>
      </c>
      <c r="L28" s="27">
        <v>214.1</v>
      </c>
      <c r="M28" s="27"/>
      <c r="N28" s="27"/>
      <c r="O28" s="31"/>
      <c r="R28" s="2" t="s">
        <v>47</v>
      </c>
      <c r="S28" s="32">
        <f>SUM(S18:S27)</f>
        <v>456320.8716666667</v>
      </c>
    </row>
    <row r="29" spans="1:19" ht="15.5" x14ac:dyDescent="0.25">
      <c r="A29" s="13">
        <v>10</v>
      </c>
      <c r="B29" s="38">
        <f t="shared" ref="B29:G29" si="16">B14^2</f>
        <v>10040.040000000001</v>
      </c>
      <c r="C29" s="38">
        <f t="shared" si="16"/>
        <v>11004.010000000002</v>
      </c>
      <c r="D29" s="38">
        <f t="shared" si="16"/>
        <v>9940.09</v>
      </c>
      <c r="E29" s="38">
        <f t="shared" si="16"/>
        <v>10650.24</v>
      </c>
      <c r="F29" s="38">
        <f t="shared" si="16"/>
        <v>10878.49</v>
      </c>
      <c r="G29" s="38">
        <f t="shared" si="16"/>
        <v>12432.25</v>
      </c>
      <c r="O29" s="31"/>
    </row>
    <row r="33" spans="11:19" ht="15" x14ac:dyDescent="0.25">
      <c r="K33" s="14" t="s">
        <v>76</v>
      </c>
      <c r="L33">
        <f>5.15*SQRT(L19)</f>
        <v>21.987042273046193</v>
      </c>
      <c r="O33" s="24" t="s">
        <v>57</v>
      </c>
      <c r="P33" s="24" t="s">
        <v>31</v>
      </c>
      <c r="Q33" s="24" t="s">
        <v>29</v>
      </c>
      <c r="R33" s="24" t="s">
        <v>66</v>
      </c>
      <c r="S33" s="24" t="s">
        <v>70</v>
      </c>
    </row>
    <row r="34" spans="11:19" x14ac:dyDescent="0.25">
      <c r="O34" s="25">
        <v>1</v>
      </c>
      <c r="P34" s="34" t="s">
        <v>59</v>
      </c>
      <c r="Q34" s="35">
        <f>SUM(B5:C5)</f>
        <v>125.30000000000001</v>
      </c>
      <c r="R34" s="36">
        <f>Q34^2</f>
        <v>15700.090000000002</v>
      </c>
      <c r="S34" s="36">
        <f>R34/$I$12</f>
        <v>7850.045000000001</v>
      </c>
    </row>
    <row r="35" spans="11:19" x14ac:dyDescent="0.25">
      <c r="O35" s="25">
        <v>2</v>
      </c>
      <c r="P35" s="34" t="s">
        <v>59</v>
      </c>
      <c r="Q35" s="35">
        <f t="shared" ref="Q35:Q43" si="17">SUM(B6:C6)</f>
        <v>172.1</v>
      </c>
      <c r="R35" s="36">
        <f t="shared" ref="R35:R63" si="18">Q35^2</f>
        <v>29618.41</v>
      </c>
      <c r="S35" s="36">
        <f t="shared" ref="S35:S63" si="19">R35/$I$12</f>
        <v>14809.205</v>
      </c>
    </row>
    <row r="36" spans="11:19" x14ac:dyDescent="0.25">
      <c r="O36" s="25">
        <v>3</v>
      </c>
      <c r="P36" s="34" t="s">
        <v>59</v>
      </c>
      <c r="Q36" s="35">
        <f t="shared" si="17"/>
        <v>195</v>
      </c>
      <c r="R36" s="36">
        <f t="shared" si="18"/>
        <v>38025</v>
      </c>
      <c r="S36" s="36">
        <f t="shared" si="19"/>
        <v>19012.5</v>
      </c>
    </row>
    <row r="37" spans="11:19" x14ac:dyDescent="0.25">
      <c r="O37" s="25">
        <v>4</v>
      </c>
      <c r="P37" s="34" t="s">
        <v>59</v>
      </c>
      <c r="Q37" s="35">
        <f t="shared" si="17"/>
        <v>180.1</v>
      </c>
      <c r="R37" s="36">
        <f t="shared" si="18"/>
        <v>32436.01</v>
      </c>
      <c r="S37" s="36">
        <f t="shared" si="19"/>
        <v>16218.004999999999</v>
      </c>
    </row>
    <row r="38" spans="11:19" x14ac:dyDescent="0.25">
      <c r="O38" s="25">
        <v>5</v>
      </c>
      <c r="P38" s="34" t="s">
        <v>59</v>
      </c>
      <c r="Q38" s="35">
        <f t="shared" si="17"/>
        <v>120.5</v>
      </c>
      <c r="R38" s="36">
        <f t="shared" si="18"/>
        <v>14520.25</v>
      </c>
      <c r="S38" s="36">
        <f t="shared" si="19"/>
        <v>7260.125</v>
      </c>
    </row>
    <row r="39" spans="11:19" x14ac:dyDescent="0.25">
      <c r="K39" s="14" t="s">
        <v>77</v>
      </c>
      <c r="L39">
        <f>5.15*SQRT((L16-L18)/(I11*I12))</f>
        <v>18.18119389339348</v>
      </c>
      <c r="O39" s="25">
        <v>6</v>
      </c>
      <c r="P39" s="34" t="s">
        <v>59</v>
      </c>
      <c r="Q39" s="35">
        <f t="shared" si="17"/>
        <v>188.9</v>
      </c>
      <c r="R39" s="36">
        <f t="shared" si="18"/>
        <v>35683.21</v>
      </c>
      <c r="S39" s="36">
        <f t="shared" si="19"/>
        <v>17841.605</v>
      </c>
    </row>
    <row r="40" spans="11:19" x14ac:dyDescent="0.25">
      <c r="O40" s="25">
        <v>7</v>
      </c>
      <c r="P40" s="34" t="s">
        <v>59</v>
      </c>
      <c r="Q40" s="35">
        <f t="shared" si="17"/>
        <v>189</v>
      </c>
      <c r="R40" s="36">
        <f t="shared" si="18"/>
        <v>35721</v>
      </c>
      <c r="S40" s="36">
        <f t="shared" si="19"/>
        <v>17860.5</v>
      </c>
    </row>
    <row r="41" spans="11:19" x14ac:dyDescent="0.25">
      <c r="K41" s="14" t="s">
        <v>73</v>
      </c>
      <c r="O41" s="25">
        <v>8</v>
      </c>
      <c r="P41" s="34" t="s">
        <v>59</v>
      </c>
      <c r="Q41" s="35">
        <f t="shared" si="17"/>
        <v>169.60000000000002</v>
      </c>
      <c r="R41" s="36">
        <f t="shared" si="18"/>
        <v>28764.160000000007</v>
      </c>
      <c r="S41" s="36">
        <f t="shared" si="19"/>
        <v>14382.080000000004</v>
      </c>
    </row>
    <row r="42" spans="11:19" x14ac:dyDescent="0.25">
      <c r="O42" s="25">
        <v>9</v>
      </c>
      <c r="P42" s="34" t="s">
        <v>59</v>
      </c>
      <c r="Q42" s="35">
        <f t="shared" si="17"/>
        <v>164.60000000000002</v>
      </c>
      <c r="R42" s="36">
        <f t="shared" si="18"/>
        <v>27093.160000000007</v>
      </c>
      <c r="S42" s="36">
        <f t="shared" si="19"/>
        <v>13546.580000000004</v>
      </c>
    </row>
    <row r="43" spans="11:19" x14ac:dyDescent="0.25">
      <c r="O43" s="25">
        <v>10</v>
      </c>
      <c r="P43" s="34" t="s">
        <v>59</v>
      </c>
      <c r="Q43" s="35">
        <f t="shared" si="17"/>
        <v>205.10000000000002</v>
      </c>
      <c r="R43" s="36">
        <f t="shared" si="18"/>
        <v>42066.010000000009</v>
      </c>
      <c r="S43" s="36">
        <f t="shared" si="19"/>
        <v>21033.005000000005</v>
      </c>
    </row>
    <row r="44" spans="11:19" x14ac:dyDescent="0.25">
      <c r="O44" s="25">
        <v>1</v>
      </c>
      <c r="P44" s="34" t="s">
        <v>60</v>
      </c>
      <c r="Q44" s="35">
        <f>SUM(D5:E5)</f>
        <v>119.19999999999999</v>
      </c>
      <c r="R44" s="36">
        <f t="shared" si="18"/>
        <v>14208.639999999998</v>
      </c>
      <c r="S44" s="36">
        <f t="shared" si="19"/>
        <v>7104.3199999999988</v>
      </c>
    </row>
    <row r="45" spans="11:19" x14ac:dyDescent="0.25">
      <c r="O45" s="25">
        <v>2</v>
      </c>
      <c r="P45" s="34" t="s">
        <v>60</v>
      </c>
      <c r="Q45" s="35">
        <f t="shared" ref="Q45:Q53" si="20">SUM(D6:E6)</f>
        <v>166.2</v>
      </c>
      <c r="R45" s="36">
        <f t="shared" si="18"/>
        <v>27622.439999999995</v>
      </c>
      <c r="S45" s="36">
        <f t="shared" si="19"/>
        <v>13811.219999999998</v>
      </c>
    </row>
    <row r="46" spans="11:19" x14ac:dyDescent="0.25">
      <c r="K46" s="14" t="s">
        <v>78</v>
      </c>
      <c r="L46" t="e">
        <f>5.15*SQRT(L18-L19)/I12</f>
        <v>#NUM!</v>
      </c>
      <c r="O46" s="25">
        <v>3</v>
      </c>
      <c r="P46" s="34" t="s">
        <v>60</v>
      </c>
      <c r="Q46" s="35">
        <f t="shared" si="20"/>
        <v>194.6</v>
      </c>
      <c r="R46" s="36">
        <f t="shared" si="18"/>
        <v>37869.159999999996</v>
      </c>
      <c r="S46" s="36">
        <f t="shared" si="19"/>
        <v>18934.579999999998</v>
      </c>
    </row>
    <row r="47" spans="11:19" x14ac:dyDescent="0.25">
      <c r="O47" s="25">
        <v>4</v>
      </c>
      <c r="P47" s="34" t="s">
        <v>60</v>
      </c>
      <c r="Q47" s="35">
        <f t="shared" si="20"/>
        <v>175.1</v>
      </c>
      <c r="R47" s="36">
        <f t="shared" si="18"/>
        <v>30660.01</v>
      </c>
      <c r="S47" s="36">
        <f t="shared" si="19"/>
        <v>15330.004999999999</v>
      </c>
    </row>
    <row r="48" spans="11:19" x14ac:dyDescent="0.25">
      <c r="K48" s="66" t="s">
        <v>95</v>
      </c>
      <c r="O48" s="25">
        <v>5</v>
      </c>
      <c r="P48" s="34" t="s">
        <v>60</v>
      </c>
      <c r="Q48" s="35">
        <f t="shared" si="20"/>
        <v>111.7</v>
      </c>
      <c r="R48" s="36">
        <f t="shared" si="18"/>
        <v>12476.890000000001</v>
      </c>
      <c r="S48" s="36">
        <f t="shared" si="19"/>
        <v>6238.4450000000006</v>
      </c>
    </row>
    <row r="49" spans="11:19" x14ac:dyDescent="0.25">
      <c r="O49" s="25">
        <v>6</v>
      </c>
      <c r="P49" s="34" t="s">
        <v>60</v>
      </c>
      <c r="Q49" s="35">
        <f t="shared" si="20"/>
        <v>179.9</v>
      </c>
      <c r="R49" s="36">
        <f t="shared" si="18"/>
        <v>32364.010000000002</v>
      </c>
      <c r="S49" s="36">
        <f t="shared" si="19"/>
        <v>16182.005000000001</v>
      </c>
    </row>
    <row r="50" spans="11:19" x14ac:dyDescent="0.25">
      <c r="O50" s="25">
        <v>7</v>
      </c>
      <c r="P50" s="34" t="s">
        <v>60</v>
      </c>
      <c r="Q50" s="35">
        <f t="shared" si="20"/>
        <v>184.4</v>
      </c>
      <c r="R50" s="36">
        <f t="shared" si="18"/>
        <v>34003.360000000001</v>
      </c>
      <c r="S50" s="36">
        <f t="shared" si="19"/>
        <v>17001.68</v>
      </c>
    </row>
    <row r="51" spans="11:19" x14ac:dyDescent="0.25">
      <c r="O51" s="25">
        <v>8</v>
      </c>
      <c r="P51" s="34" t="s">
        <v>60</v>
      </c>
      <c r="Q51" s="35">
        <f t="shared" si="20"/>
        <v>162.69999999999999</v>
      </c>
      <c r="R51" s="36">
        <f t="shared" si="18"/>
        <v>26471.289999999997</v>
      </c>
      <c r="S51" s="36">
        <f t="shared" si="19"/>
        <v>13235.644999999999</v>
      </c>
    </row>
    <row r="52" spans="11:19" x14ac:dyDescent="0.25">
      <c r="K52" s="14" t="s">
        <v>79</v>
      </c>
      <c r="L52">
        <f>SQRT(L33^2+L39^2+IFERROR(L46,0))</f>
        <v>28.530437068259026</v>
      </c>
      <c r="O52" s="25">
        <v>9</v>
      </c>
      <c r="P52" s="34" t="s">
        <v>60</v>
      </c>
      <c r="Q52" s="35">
        <f t="shared" si="20"/>
        <v>161</v>
      </c>
      <c r="R52" s="36">
        <f t="shared" si="18"/>
        <v>25921</v>
      </c>
      <c r="S52" s="36">
        <f t="shared" si="19"/>
        <v>12960.5</v>
      </c>
    </row>
    <row r="53" spans="11:19" x14ac:dyDescent="0.25">
      <c r="K53" s="14" t="s">
        <v>74</v>
      </c>
      <c r="O53" s="25">
        <v>10</v>
      </c>
      <c r="P53" s="34" t="s">
        <v>60</v>
      </c>
      <c r="Q53" s="35">
        <f t="shared" si="20"/>
        <v>202.9</v>
      </c>
      <c r="R53" s="36">
        <f t="shared" si="18"/>
        <v>41168.410000000003</v>
      </c>
      <c r="S53" s="36">
        <f t="shared" si="19"/>
        <v>20584.205000000002</v>
      </c>
    </row>
    <row r="54" spans="11:19" x14ac:dyDescent="0.25">
      <c r="O54" s="25">
        <v>1</v>
      </c>
      <c r="P54" s="34" t="s">
        <v>61</v>
      </c>
      <c r="Q54" s="37">
        <f>SUM(F5:G5)</f>
        <v>132.19999999999999</v>
      </c>
      <c r="R54" s="36">
        <f t="shared" si="18"/>
        <v>17476.839999999997</v>
      </c>
      <c r="S54" s="36">
        <f t="shared" si="19"/>
        <v>8738.4199999999983</v>
      </c>
    </row>
    <row r="55" spans="11:19" x14ac:dyDescent="0.25">
      <c r="O55" s="25">
        <v>2</v>
      </c>
      <c r="P55" s="34" t="s">
        <v>61</v>
      </c>
      <c r="Q55" s="37">
        <f t="shared" ref="Q55:Q63" si="21">SUM(F6:G6)</f>
        <v>179.4</v>
      </c>
      <c r="R55" s="36">
        <f t="shared" si="18"/>
        <v>32184.36</v>
      </c>
      <c r="S55" s="36">
        <f t="shared" si="19"/>
        <v>16092.18</v>
      </c>
    </row>
    <row r="56" spans="11:19" x14ac:dyDescent="0.25">
      <c r="O56" s="25">
        <v>3</v>
      </c>
      <c r="P56" s="34" t="s">
        <v>61</v>
      </c>
      <c r="Q56" s="37">
        <f t="shared" si="21"/>
        <v>211.7</v>
      </c>
      <c r="R56" s="36">
        <f t="shared" si="18"/>
        <v>44816.889999999992</v>
      </c>
      <c r="S56" s="36">
        <f t="shared" si="19"/>
        <v>22408.444999999996</v>
      </c>
    </row>
    <row r="57" spans="11:19" x14ac:dyDescent="0.25">
      <c r="O57" s="25">
        <v>4</v>
      </c>
      <c r="P57" s="34" t="s">
        <v>61</v>
      </c>
      <c r="Q57" s="37">
        <f t="shared" si="21"/>
        <v>186.89999999999998</v>
      </c>
      <c r="R57" s="36">
        <f t="shared" si="18"/>
        <v>34931.609999999993</v>
      </c>
      <c r="S57" s="36">
        <f t="shared" si="19"/>
        <v>17465.804999999997</v>
      </c>
    </row>
    <row r="58" spans="11:19" x14ac:dyDescent="0.25">
      <c r="O58" s="25">
        <v>5</v>
      </c>
      <c r="P58" s="34" t="s">
        <v>61</v>
      </c>
      <c r="Q58" s="37">
        <f t="shared" si="21"/>
        <v>126.1</v>
      </c>
      <c r="R58" s="36">
        <f t="shared" si="18"/>
        <v>15901.21</v>
      </c>
      <c r="S58" s="36">
        <f t="shared" si="19"/>
        <v>7950.6049999999996</v>
      </c>
    </row>
    <row r="59" spans="11:19" x14ac:dyDescent="0.25">
      <c r="K59" s="14" t="s">
        <v>80</v>
      </c>
      <c r="L59">
        <f>5.15*SQRT((L17-L18)/(I10*I12))</f>
        <v>75.245643699118247</v>
      </c>
      <c r="O59" s="25">
        <v>6</v>
      </c>
      <c r="P59" s="34" t="s">
        <v>61</v>
      </c>
      <c r="Q59" s="37">
        <f t="shared" si="21"/>
        <v>192.4</v>
      </c>
      <c r="R59" s="36">
        <f t="shared" si="18"/>
        <v>37017.760000000002</v>
      </c>
      <c r="S59" s="36">
        <f t="shared" si="19"/>
        <v>18508.88</v>
      </c>
    </row>
    <row r="60" spans="11:19" x14ac:dyDescent="0.25">
      <c r="K60" s="14" t="s">
        <v>75</v>
      </c>
      <c r="O60" s="25">
        <v>7</v>
      </c>
      <c r="P60" s="34" t="s">
        <v>61</v>
      </c>
      <c r="Q60" s="37">
        <f t="shared" si="21"/>
        <v>198.7</v>
      </c>
      <c r="R60" s="36">
        <f t="shared" si="18"/>
        <v>39481.689999999995</v>
      </c>
      <c r="S60" s="36">
        <f t="shared" si="19"/>
        <v>19740.844999999998</v>
      </c>
    </row>
    <row r="61" spans="11:19" x14ac:dyDescent="0.25">
      <c r="O61" s="25">
        <v>8</v>
      </c>
      <c r="P61" s="34" t="s">
        <v>61</v>
      </c>
      <c r="Q61" s="37">
        <f t="shared" si="21"/>
        <v>178.8</v>
      </c>
      <c r="R61" s="36">
        <f t="shared" si="18"/>
        <v>31969.440000000002</v>
      </c>
      <c r="S61" s="36">
        <f t="shared" si="19"/>
        <v>15984.720000000001</v>
      </c>
    </row>
    <row r="62" spans="11:19" x14ac:dyDescent="0.25">
      <c r="O62" s="25">
        <v>9</v>
      </c>
      <c r="P62" s="34" t="s">
        <v>61</v>
      </c>
      <c r="Q62" s="37">
        <f t="shared" si="21"/>
        <v>176</v>
      </c>
      <c r="R62" s="36">
        <f t="shared" si="18"/>
        <v>30976</v>
      </c>
      <c r="S62" s="36">
        <f t="shared" si="19"/>
        <v>15488</v>
      </c>
    </row>
    <row r="63" spans="11:19" x14ac:dyDescent="0.25">
      <c r="O63" s="25">
        <v>10</v>
      </c>
      <c r="P63" s="34" t="s">
        <v>61</v>
      </c>
      <c r="Q63" s="37">
        <f t="shared" si="21"/>
        <v>215.8</v>
      </c>
      <c r="R63" s="36">
        <f t="shared" si="18"/>
        <v>46569.640000000007</v>
      </c>
      <c r="S63" s="36">
        <f t="shared" si="19"/>
        <v>23284.820000000003</v>
      </c>
    </row>
    <row r="64" spans="11:19" x14ac:dyDescent="0.25">
      <c r="S64" s="33">
        <f>SUM(S34:S63)</f>
        <v>456858.97500000003</v>
      </c>
    </row>
    <row r="65" spans="11:12" x14ac:dyDescent="0.25">
      <c r="K65" s="14" t="s">
        <v>81</v>
      </c>
      <c r="L65">
        <f>SQRT(L52^2 + L59^2)</f>
        <v>80.472931691349132</v>
      </c>
    </row>
  </sheetData>
  <mergeCells count="15">
    <mergeCell ref="A2:A4"/>
    <mergeCell ref="B2:G2"/>
    <mergeCell ref="B3:C3"/>
    <mergeCell ref="D3:E3"/>
    <mergeCell ref="F3:G3"/>
    <mergeCell ref="J5:J6"/>
    <mergeCell ref="K5:K6"/>
    <mergeCell ref="L5:L6"/>
    <mergeCell ref="M5:M6"/>
    <mergeCell ref="I5:I6"/>
    <mergeCell ref="A17:A19"/>
    <mergeCell ref="B17:G17"/>
    <mergeCell ref="B18:C18"/>
    <mergeCell ref="D18:E18"/>
    <mergeCell ref="F18:G18"/>
  </mergeCells>
  <pageMargins left="0.7" right="0.7" top="0.75" bottom="0.75" header="0.3" footer="0.3"/>
  <pageSetup paperSize="9" orientation="portrait" horizontalDpi="300" verticalDpi="0" r:id="rId1"/>
  <ignoredErrors>
    <ignoredError sqref="Q7" formula="1"/>
    <ignoredError sqref="Q18:Q27 Q34:Q43 Q44:Q53 Q54:Q63" formulaRange="1"/>
    <ignoredError sqref="L46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33BB-7858-4F3D-9720-8E035F7229E3}">
  <dimension ref="A1:U21"/>
  <sheetViews>
    <sheetView zoomScale="80" zoomScaleNormal="80" workbookViewId="0"/>
  </sheetViews>
  <sheetFormatPr defaultRowHeight="15.5" x14ac:dyDescent="0.35"/>
  <cols>
    <col min="1" max="1" width="17.36328125" style="45" customWidth="1"/>
    <col min="2" max="2" width="14.7265625" style="45" customWidth="1"/>
    <col min="3" max="3" width="14.453125" style="45" customWidth="1"/>
    <col min="4" max="6" width="8.7265625" style="45"/>
    <col min="7" max="7" width="8.6328125" style="45" customWidth="1"/>
    <col min="8" max="8" width="9.453125" style="45" customWidth="1"/>
    <col min="9" max="9" width="17" style="45" customWidth="1"/>
    <col min="10" max="16" width="8.7265625" style="45"/>
    <col min="17" max="17" width="10.81640625" style="45" customWidth="1"/>
    <col min="18" max="18" width="8.7265625" style="45"/>
    <col min="19" max="19" width="7.26953125" style="45" customWidth="1"/>
    <col min="20" max="250" width="8.7265625" style="45"/>
    <col min="251" max="251" width="14.453125" style="45" customWidth="1"/>
    <col min="252" max="252" width="11.7265625" style="45" customWidth="1"/>
    <col min="253" max="506" width="8.7265625" style="45"/>
    <col min="507" max="507" width="14.453125" style="45" customWidth="1"/>
    <col min="508" max="508" width="11.7265625" style="45" customWidth="1"/>
    <col min="509" max="762" width="8.7265625" style="45"/>
    <col min="763" max="763" width="14.453125" style="45" customWidth="1"/>
    <col min="764" max="764" width="11.7265625" style="45" customWidth="1"/>
    <col min="765" max="1018" width="8.7265625" style="45"/>
    <col min="1019" max="1019" width="14.453125" style="45" customWidth="1"/>
    <col min="1020" max="1020" width="11.7265625" style="45" customWidth="1"/>
    <col min="1021" max="1274" width="8.7265625" style="45"/>
    <col min="1275" max="1275" width="14.453125" style="45" customWidth="1"/>
    <col min="1276" max="1276" width="11.7265625" style="45" customWidth="1"/>
    <col min="1277" max="1530" width="8.7265625" style="45"/>
    <col min="1531" max="1531" width="14.453125" style="45" customWidth="1"/>
    <col min="1532" max="1532" width="11.7265625" style="45" customWidth="1"/>
    <col min="1533" max="1786" width="8.7265625" style="45"/>
    <col min="1787" max="1787" width="14.453125" style="45" customWidth="1"/>
    <col min="1788" max="1788" width="11.7265625" style="45" customWidth="1"/>
    <col min="1789" max="2042" width="8.7265625" style="45"/>
    <col min="2043" max="2043" width="14.453125" style="45" customWidth="1"/>
    <col min="2044" max="2044" width="11.7265625" style="45" customWidth="1"/>
    <col min="2045" max="2298" width="8.7265625" style="45"/>
    <col min="2299" max="2299" width="14.453125" style="45" customWidth="1"/>
    <col min="2300" max="2300" width="11.7265625" style="45" customWidth="1"/>
    <col min="2301" max="2554" width="8.7265625" style="45"/>
    <col min="2555" max="2555" width="14.453125" style="45" customWidth="1"/>
    <col min="2556" max="2556" width="11.7265625" style="45" customWidth="1"/>
    <col min="2557" max="2810" width="8.7265625" style="45"/>
    <col min="2811" max="2811" width="14.453125" style="45" customWidth="1"/>
    <col min="2812" max="2812" width="11.7265625" style="45" customWidth="1"/>
    <col min="2813" max="3066" width="8.7265625" style="45"/>
    <col min="3067" max="3067" width="14.453125" style="45" customWidth="1"/>
    <col min="3068" max="3068" width="11.7265625" style="45" customWidth="1"/>
    <col min="3069" max="3322" width="8.7265625" style="45"/>
    <col min="3323" max="3323" width="14.453125" style="45" customWidth="1"/>
    <col min="3324" max="3324" width="11.7265625" style="45" customWidth="1"/>
    <col min="3325" max="3578" width="8.7265625" style="45"/>
    <col min="3579" max="3579" width="14.453125" style="45" customWidth="1"/>
    <col min="3580" max="3580" width="11.7265625" style="45" customWidth="1"/>
    <col min="3581" max="3834" width="8.7265625" style="45"/>
    <col min="3835" max="3835" width="14.453125" style="45" customWidth="1"/>
    <col min="3836" max="3836" width="11.7265625" style="45" customWidth="1"/>
    <col min="3837" max="4090" width="8.7265625" style="45"/>
    <col min="4091" max="4091" width="14.453125" style="45" customWidth="1"/>
    <col min="4092" max="4092" width="11.7265625" style="45" customWidth="1"/>
    <col min="4093" max="4346" width="8.7265625" style="45"/>
    <col min="4347" max="4347" width="14.453125" style="45" customWidth="1"/>
    <col min="4348" max="4348" width="11.7265625" style="45" customWidth="1"/>
    <col min="4349" max="4602" width="8.7265625" style="45"/>
    <col min="4603" max="4603" width="14.453125" style="45" customWidth="1"/>
    <col min="4604" max="4604" width="11.7265625" style="45" customWidth="1"/>
    <col min="4605" max="4858" width="8.7265625" style="45"/>
    <col min="4859" max="4859" width="14.453125" style="45" customWidth="1"/>
    <col min="4860" max="4860" width="11.7265625" style="45" customWidth="1"/>
    <col min="4861" max="5114" width="8.7265625" style="45"/>
    <col min="5115" max="5115" width="14.453125" style="45" customWidth="1"/>
    <col min="5116" max="5116" width="11.7265625" style="45" customWidth="1"/>
    <col min="5117" max="5370" width="8.7265625" style="45"/>
    <col min="5371" max="5371" width="14.453125" style="45" customWidth="1"/>
    <col min="5372" max="5372" width="11.7265625" style="45" customWidth="1"/>
    <col min="5373" max="5626" width="8.7265625" style="45"/>
    <col min="5627" max="5627" width="14.453125" style="45" customWidth="1"/>
    <col min="5628" max="5628" width="11.7265625" style="45" customWidth="1"/>
    <col min="5629" max="5882" width="8.7265625" style="45"/>
    <col min="5883" max="5883" width="14.453125" style="45" customWidth="1"/>
    <col min="5884" max="5884" width="11.7265625" style="45" customWidth="1"/>
    <col min="5885" max="6138" width="8.7265625" style="45"/>
    <col min="6139" max="6139" width="14.453125" style="45" customWidth="1"/>
    <col min="6140" max="6140" width="11.7265625" style="45" customWidth="1"/>
    <col min="6141" max="6394" width="8.7265625" style="45"/>
    <col min="6395" max="6395" width="14.453125" style="45" customWidth="1"/>
    <col min="6396" max="6396" width="11.7265625" style="45" customWidth="1"/>
    <col min="6397" max="6650" width="8.7265625" style="45"/>
    <col min="6651" max="6651" width="14.453125" style="45" customWidth="1"/>
    <col min="6652" max="6652" width="11.7265625" style="45" customWidth="1"/>
    <col min="6653" max="6906" width="8.7265625" style="45"/>
    <col min="6907" max="6907" width="14.453125" style="45" customWidth="1"/>
    <col min="6908" max="6908" width="11.7265625" style="45" customWidth="1"/>
    <col min="6909" max="7162" width="8.7265625" style="45"/>
    <col min="7163" max="7163" width="14.453125" style="45" customWidth="1"/>
    <col min="7164" max="7164" width="11.7265625" style="45" customWidth="1"/>
    <col min="7165" max="7418" width="8.7265625" style="45"/>
    <col min="7419" max="7419" width="14.453125" style="45" customWidth="1"/>
    <col min="7420" max="7420" width="11.7265625" style="45" customWidth="1"/>
    <col min="7421" max="7674" width="8.7265625" style="45"/>
    <col min="7675" max="7675" width="14.453125" style="45" customWidth="1"/>
    <col min="7676" max="7676" width="11.7265625" style="45" customWidth="1"/>
    <col min="7677" max="7930" width="8.7265625" style="45"/>
    <col min="7931" max="7931" width="14.453125" style="45" customWidth="1"/>
    <col min="7932" max="7932" width="11.7265625" style="45" customWidth="1"/>
    <col min="7933" max="8186" width="8.7265625" style="45"/>
    <col min="8187" max="8187" width="14.453125" style="45" customWidth="1"/>
    <col min="8188" max="8188" width="11.7265625" style="45" customWidth="1"/>
    <col min="8189" max="8442" width="8.7265625" style="45"/>
    <col min="8443" max="8443" width="14.453125" style="45" customWidth="1"/>
    <col min="8444" max="8444" width="11.7265625" style="45" customWidth="1"/>
    <col min="8445" max="8698" width="8.7265625" style="45"/>
    <col min="8699" max="8699" width="14.453125" style="45" customWidth="1"/>
    <col min="8700" max="8700" width="11.7265625" style="45" customWidth="1"/>
    <col min="8701" max="8954" width="8.7265625" style="45"/>
    <col min="8955" max="8955" width="14.453125" style="45" customWidth="1"/>
    <col min="8956" max="8956" width="11.7265625" style="45" customWidth="1"/>
    <col min="8957" max="9210" width="8.7265625" style="45"/>
    <col min="9211" max="9211" width="14.453125" style="45" customWidth="1"/>
    <col min="9212" max="9212" width="11.7265625" style="45" customWidth="1"/>
    <col min="9213" max="9466" width="8.7265625" style="45"/>
    <col min="9467" max="9467" width="14.453125" style="45" customWidth="1"/>
    <col min="9468" max="9468" width="11.7265625" style="45" customWidth="1"/>
    <col min="9469" max="9722" width="8.7265625" style="45"/>
    <col min="9723" max="9723" width="14.453125" style="45" customWidth="1"/>
    <col min="9724" max="9724" width="11.7265625" style="45" customWidth="1"/>
    <col min="9725" max="9978" width="8.7265625" style="45"/>
    <col min="9979" max="9979" width="14.453125" style="45" customWidth="1"/>
    <col min="9980" max="9980" width="11.7265625" style="45" customWidth="1"/>
    <col min="9981" max="10234" width="8.7265625" style="45"/>
    <col min="10235" max="10235" width="14.453125" style="45" customWidth="1"/>
    <col min="10236" max="10236" width="11.7265625" style="45" customWidth="1"/>
    <col min="10237" max="10490" width="8.7265625" style="45"/>
    <col min="10491" max="10491" width="14.453125" style="45" customWidth="1"/>
    <col min="10492" max="10492" width="11.7265625" style="45" customWidth="1"/>
    <col min="10493" max="10746" width="8.7265625" style="45"/>
    <col min="10747" max="10747" width="14.453125" style="45" customWidth="1"/>
    <col min="10748" max="10748" width="11.7265625" style="45" customWidth="1"/>
    <col min="10749" max="11002" width="8.7265625" style="45"/>
    <col min="11003" max="11003" width="14.453125" style="45" customWidth="1"/>
    <col min="11004" max="11004" width="11.7265625" style="45" customWidth="1"/>
    <col min="11005" max="11258" width="8.7265625" style="45"/>
    <col min="11259" max="11259" width="14.453125" style="45" customWidth="1"/>
    <col min="11260" max="11260" width="11.7265625" style="45" customWidth="1"/>
    <col min="11261" max="11514" width="8.7265625" style="45"/>
    <col min="11515" max="11515" width="14.453125" style="45" customWidth="1"/>
    <col min="11516" max="11516" width="11.7265625" style="45" customWidth="1"/>
    <col min="11517" max="11770" width="8.7265625" style="45"/>
    <col min="11771" max="11771" width="14.453125" style="45" customWidth="1"/>
    <col min="11772" max="11772" width="11.7265625" style="45" customWidth="1"/>
    <col min="11773" max="12026" width="8.7265625" style="45"/>
    <col min="12027" max="12027" width="14.453125" style="45" customWidth="1"/>
    <col min="12028" max="12028" width="11.7265625" style="45" customWidth="1"/>
    <col min="12029" max="12282" width="8.7265625" style="45"/>
    <col min="12283" max="12283" width="14.453125" style="45" customWidth="1"/>
    <col min="12284" max="12284" width="11.7265625" style="45" customWidth="1"/>
    <col min="12285" max="12538" width="8.7265625" style="45"/>
    <col min="12539" max="12539" width="14.453125" style="45" customWidth="1"/>
    <col min="12540" max="12540" width="11.7265625" style="45" customWidth="1"/>
    <col min="12541" max="12794" width="8.7265625" style="45"/>
    <col min="12795" max="12795" width="14.453125" style="45" customWidth="1"/>
    <col min="12796" max="12796" width="11.7265625" style="45" customWidth="1"/>
    <col min="12797" max="13050" width="8.7265625" style="45"/>
    <col min="13051" max="13051" width="14.453125" style="45" customWidth="1"/>
    <col min="13052" max="13052" width="11.7265625" style="45" customWidth="1"/>
    <col min="13053" max="13306" width="8.7265625" style="45"/>
    <col min="13307" max="13307" width="14.453125" style="45" customWidth="1"/>
    <col min="13308" max="13308" width="11.7265625" style="45" customWidth="1"/>
    <col min="13309" max="13562" width="8.7265625" style="45"/>
    <col min="13563" max="13563" width="14.453125" style="45" customWidth="1"/>
    <col min="13564" max="13564" width="11.7265625" style="45" customWidth="1"/>
    <col min="13565" max="13818" width="8.7265625" style="45"/>
    <col min="13819" max="13819" width="14.453125" style="45" customWidth="1"/>
    <col min="13820" max="13820" width="11.7265625" style="45" customWidth="1"/>
    <col min="13821" max="14074" width="8.7265625" style="45"/>
    <col min="14075" max="14075" width="14.453125" style="45" customWidth="1"/>
    <col min="14076" max="14076" width="11.7265625" style="45" customWidth="1"/>
    <col min="14077" max="14330" width="8.7265625" style="45"/>
    <col min="14331" max="14331" width="14.453125" style="45" customWidth="1"/>
    <col min="14332" max="14332" width="11.7265625" style="45" customWidth="1"/>
    <col min="14333" max="14586" width="8.7265625" style="45"/>
    <col min="14587" max="14587" width="14.453125" style="45" customWidth="1"/>
    <col min="14588" max="14588" width="11.7265625" style="45" customWidth="1"/>
    <col min="14589" max="14842" width="8.7265625" style="45"/>
    <col min="14843" max="14843" width="14.453125" style="45" customWidth="1"/>
    <col min="14844" max="14844" width="11.7265625" style="45" customWidth="1"/>
    <col min="14845" max="15098" width="8.7265625" style="45"/>
    <col min="15099" max="15099" width="14.453125" style="45" customWidth="1"/>
    <col min="15100" max="15100" width="11.7265625" style="45" customWidth="1"/>
    <col min="15101" max="15354" width="8.7265625" style="45"/>
    <col min="15355" max="15355" width="14.453125" style="45" customWidth="1"/>
    <col min="15356" max="15356" width="11.7265625" style="45" customWidth="1"/>
    <col min="15357" max="15610" width="8.7265625" style="45"/>
    <col min="15611" max="15611" width="14.453125" style="45" customWidth="1"/>
    <col min="15612" max="15612" width="11.7265625" style="45" customWidth="1"/>
    <col min="15613" max="15866" width="8.7265625" style="45"/>
    <col min="15867" max="15867" width="14.453125" style="45" customWidth="1"/>
    <col min="15868" max="15868" width="11.7265625" style="45" customWidth="1"/>
    <col min="15869" max="16122" width="8.7265625" style="45"/>
    <col min="16123" max="16123" width="14.453125" style="45" customWidth="1"/>
    <col min="16124" max="16124" width="11.7265625" style="45" customWidth="1"/>
    <col min="16125" max="16384" width="8.7265625" style="45"/>
  </cols>
  <sheetData>
    <row r="1" spans="1:21" ht="23" x14ac:dyDescent="0.5">
      <c r="A1" s="3" t="s">
        <v>9</v>
      </c>
      <c r="B1" s="3"/>
    </row>
    <row r="2" spans="1:21" ht="30" x14ac:dyDescent="0.35">
      <c r="Q2" s="58" t="s">
        <v>84</v>
      </c>
      <c r="R2" s="59" t="s">
        <v>91</v>
      </c>
      <c r="S2" s="59" t="s">
        <v>85</v>
      </c>
      <c r="T2" s="59" t="s">
        <v>92</v>
      </c>
      <c r="U2" s="59" t="s">
        <v>86</v>
      </c>
    </row>
    <row r="3" spans="1:21" x14ac:dyDescent="0.35">
      <c r="Q3" s="60">
        <v>10</v>
      </c>
      <c r="R3" s="61">
        <f>Q3^2</f>
        <v>100</v>
      </c>
      <c r="S3" s="62">
        <v>-0.16600000000000037</v>
      </c>
      <c r="T3" s="61">
        <f>S3^2</f>
        <v>2.7556000000000122E-2</v>
      </c>
      <c r="U3" s="63">
        <f>Q3*S3</f>
        <v>-1.6600000000000037</v>
      </c>
    </row>
    <row r="4" spans="1:21" x14ac:dyDescent="0.35">
      <c r="B4" s="9" t="s">
        <v>84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85</v>
      </c>
      <c r="I4" s="49"/>
      <c r="Q4" s="60">
        <v>20</v>
      </c>
      <c r="R4" s="61">
        <f t="shared" ref="R4:R12" si="0">Q4^2</f>
        <v>400</v>
      </c>
      <c r="S4" s="62">
        <v>-5.3999999999998494E-2</v>
      </c>
      <c r="T4" s="61">
        <f t="shared" ref="T4:T12" si="1">S4^2</f>
        <v>2.9159999999998371E-3</v>
      </c>
      <c r="U4" s="63">
        <f t="shared" ref="U4:U12" si="2">Q4*S4</f>
        <v>-1.0799999999999699</v>
      </c>
    </row>
    <row r="5" spans="1:21" x14ac:dyDescent="0.35">
      <c r="B5" s="10">
        <v>10</v>
      </c>
      <c r="C5" s="10">
        <v>9.91</v>
      </c>
      <c r="D5" s="10">
        <v>9.7100000000000009</v>
      </c>
      <c r="E5" s="10">
        <v>9.9600000000000009</v>
      </c>
      <c r="F5" s="10">
        <v>9.69</v>
      </c>
      <c r="G5" s="10">
        <v>9.9</v>
      </c>
      <c r="H5" s="10">
        <f>AVERAGE(C5:G5)-B5</f>
        <v>-0.16600000000000037</v>
      </c>
      <c r="I5" s="51"/>
      <c r="Q5" s="60">
        <v>30</v>
      </c>
      <c r="R5" s="61">
        <f t="shared" si="0"/>
        <v>900</v>
      </c>
      <c r="S5" s="62">
        <v>-1.6000000000001791E-2</v>
      </c>
      <c r="T5" s="61">
        <f t="shared" si="1"/>
        <v>2.5600000000005729E-4</v>
      </c>
      <c r="U5" s="63">
        <f t="shared" si="2"/>
        <v>-0.48000000000005372</v>
      </c>
    </row>
    <row r="6" spans="1:21" x14ac:dyDescent="0.35">
      <c r="B6" s="10">
        <v>20</v>
      </c>
      <c r="C6" s="10">
        <v>19.920000000000002</v>
      </c>
      <c r="D6" s="10">
        <v>20.16</v>
      </c>
      <c r="E6" s="10">
        <v>19.88</v>
      </c>
      <c r="F6" s="10">
        <v>19.850000000000001</v>
      </c>
      <c r="G6" s="10">
        <v>19.920000000000002</v>
      </c>
      <c r="H6" s="10">
        <f t="shared" ref="H6:H14" si="3">AVERAGE(C6:G6)-B6</f>
        <v>-5.3999999999998494E-2</v>
      </c>
      <c r="I6" s="51"/>
      <c r="Q6" s="60">
        <v>40</v>
      </c>
      <c r="R6" s="61">
        <f t="shared" si="0"/>
        <v>1600</v>
      </c>
      <c r="S6" s="62">
        <v>-4.7999999999994714E-2</v>
      </c>
      <c r="T6" s="61">
        <f t="shared" si="1"/>
        <v>2.3039999999994927E-3</v>
      </c>
      <c r="U6" s="63">
        <f t="shared" si="2"/>
        <v>-1.9199999999997885</v>
      </c>
    </row>
    <row r="7" spans="1:21" x14ac:dyDescent="0.35">
      <c r="B7" s="10">
        <v>30</v>
      </c>
      <c r="C7" s="10">
        <v>29.68</v>
      </c>
      <c r="D7" s="10">
        <v>30.15</v>
      </c>
      <c r="E7" s="10">
        <v>30.46</v>
      </c>
      <c r="F7" s="10">
        <v>29.48</v>
      </c>
      <c r="G7" s="10">
        <v>30.15</v>
      </c>
      <c r="H7" s="10">
        <f t="shared" si="3"/>
        <v>-1.6000000000001791E-2</v>
      </c>
      <c r="I7" s="51"/>
      <c r="Q7" s="60">
        <v>50</v>
      </c>
      <c r="R7" s="61">
        <f t="shared" si="0"/>
        <v>2500</v>
      </c>
      <c r="S7" s="62">
        <v>1.0000000000005116E-2</v>
      </c>
      <c r="T7" s="61">
        <f t="shared" si="1"/>
        <v>1.0000000000010231E-4</v>
      </c>
      <c r="U7" s="63">
        <f t="shared" si="2"/>
        <v>0.5000000000002558</v>
      </c>
    </row>
    <row r="8" spans="1:21" x14ac:dyDescent="0.35">
      <c r="B8" s="10">
        <v>40</v>
      </c>
      <c r="C8" s="10">
        <v>40.03</v>
      </c>
      <c r="D8" s="10">
        <v>39.93</v>
      </c>
      <c r="E8" s="10">
        <v>40.08</v>
      </c>
      <c r="F8" s="10">
        <v>39.69</v>
      </c>
      <c r="G8" s="10">
        <v>40.03</v>
      </c>
      <c r="H8" s="10">
        <f t="shared" si="3"/>
        <v>-4.7999999999994714E-2</v>
      </c>
      <c r="I8" s="51"/>
      <c r="Q8" s="60">
        <v>60</v>
      </c>
      <c r="R8" s="61">
        <f t="shared" si="0"/>
        <v>3600</v>
      </c>
      <c r="S8" s="62">
        <v>1.3999999999995794E-2</v>
      </c>
      <c r="T8" s="61">
        <f t="shared" si="1"/>
        <v>1.9599999999988222E-4</v>
      </c>
      <c r="U8" s="63">
        <f t="shared" si="2"/>
        <v>0.83999999999974762</v>
      </c>
    </row>
    <row r="9" spans="1:21" x14ac:dyDescent="0.35">
      <c r="B9" s="10">
        <v>50</v>
      </c>
      <c r="C9" s="10">
        <v>50.31</v>
      </c>
      <c r="D9" s="10">
        <v>49.78</v>
      </c>
      <c r="E9" s="10">
        <v>50.04</v>
      </c>
      <c r="F9" s="10">
        <v>49.86</v>
      </c>
      <c r="G9" s="10">
        <v>50.06</v>
      </c>
      <c r="H9" s="10">
        <f t="shared" si="3"/>
        <v>1.0000000000005116E-2</v>
      </c>
      <c r="I9" s="51"/>
      <c r="Q9" s="60">
        <v>70</v>
      </c>
      <c r="R9" s="61">
        <f t="shared" si="0"/>
        <v>4900</v>
      </c>
      <c r="S9" s="62">
        <v>5.9999999999988063E-2</v>
      </c>
      <c r="T9" s="61">
        <f t="shared" si="1"/>
        <v>3.5999999999985675E-3</v>
      </c>
      <c r="U9" s="63">
        <f t="shared" si="2"/>
        <v>4.1999999999991644</v>
      </c>
    </row>
    <row r="10" spans="1:21" x14ac:dyDescent="0.35">
      <c r="B10" s="10">
        <v>60</v>
      </c>
      <c r="C10" s="10">
        <v>60.58</v>
      </c>
      <c r="D10" s="10">
        <v>59.34</v>
      </c>
      <c r="E10" s="10">
        <v>59.61</v>
      </c>
      <c r="F10" s="10">
        <v>59.88</v>
      </c>
      <c r="G10" s="10">
        <v>60.66</v>
      </c>
      <c r="H10" s="10">
        <f t="shared" si="3"/>
        <v>1.3999999999995794E-2</v>
      </c>
      <c r="I10" s="51"/>
      <c r="Q10" s="60">
        <v>80</v>
      </c>
      <c r="R10" s="61">
        <f t="shared" si="0"/>
        <v>6400</v>
      </c>
      <c r="S10" s="62">
        <v>4.8000000000001819E-2</v>
      </c>
      <c r="T10" s="61">
        <f t="shared" si="1"/>
        <v>2.3040000000001748E-3</v>
      </c>
      <c r="U10" s="63">
        <f t="shared" si="2"/>
        <v>3.8400000000001455</v>
      </c>
    </row>
    <row r="11" spans="1:21" x14ac:dyDescent="0.35">
      <c r="B11" s="10">
        <v>70</v>
      </c>
      <c r="C11" s="10">
        <v>70.14</v>
      </c>
      <c r="D11" s="10">
        <v>69.930000000000007</v>
      </c>
      <c r="E11" s="10">
        <v>69.52</v>
      </c>
      <c r="F11" s="10">
        <v>69.86</v>
      </c>
      <c r="G11" s="10">
        <v>70.849999999999994</v>
      </c>
      <c r="H11" s="10">
        <f t="shared" si="3"/>
        <v>5.9999999999988063E-2</v>
      </c>
      <c r="I11" s="51"/>
      <c r="Q11" s="60">
        <v>90</v>
      </c>
      <c r="R11" s="61">
        <f t="shared" si="0"/>
        <v>8100</v>
      </c>
      <c r="S11" s="62">
        <v>0.12399999999999523</v>
      </c>
      <c r="T11" s="61">
        <f t="shared" si="1"/>
        <v>1.5375999999998816E-2</v>
      </c>
      <c r="U11" s="63">
        <f t="shared" si="2"/>
        <v>11.15999999999957</v>
      </c>
    </row>
    <row r="12" spans="1:21" x14ac:dyDescent="0.35">
      <c r="B12" s="10">
        <v>80</v>
      </c>
      <c r="C12" s="10">
        <v>79.099999999999994</v>
      </c>
      <c r="D12" s="10">
        <v>79.930000000000007</v>
      </c>
      <c r="E12" s="10">
        <v>79.83</v>
      </c>
      <c r="F12" s="10">
        <v>80.78</v>
      </c>
      <c r="G12" s="10">
        <v>80.599999999999994</v>
      </c>
      <c r="H12" s="10">
        <f t="shared" si="3"/>
        <v>4.8000000000001819E-2</v>
      </c>
      <c r="I12" s="51"/>
      <c r="Q12" s="60">
        <v>100</v>
      </c>
      <c r="R12" s="61">
        <f t="shared" si="0"/>
        <v>10000</v>
      </c>
      <c r="S12" s="62">
        <v>0.1460000000000008</v>
      </c>
      <c r="T12" s="61">
        <f t="shared" si="1"/>
        <v>2.1316000000000234E-2</v>
      </c>
      <c r="U12" s="63">
        <f t="shared" si="2"/>
        <v>14.60000000000008</v>
      </c>
    </row>
    <row r="13" spans="1:21" x14ac:dyDescent="0.35">
      <c r="B13" s="10">
        <v>90</v>
      </c>
      <c r="C13" s="10">
        <v>89.4</v>
      </c>
      <c r="D13" s="10">
        <v>89.4</v>
      </c>
      <c r="E13" s="10">
        <v>90.47</v>
      </c>
      <c r="F13" s="10">
        <v>89.96</v>
      </c>
      <c r="G13" s="10">
        <v>91.39</v>
      </c>
      <c r="H13" s="10">
        <f t="shared" si="3"/>
        <v>0.12399999999999523</v>
      </c>
      <c r="I13" s="51"/>
      <c r="P13" s="50" t="s">
        <v>88</v>
      </c>
      <c r="Q13" s="64">
        <f>SUM(Q3:Q12)</f>
        <v>550</v>
      </c>
      <c r="R13" s="64">
        <f t="shared" ref="R13:U13" si="4">SUM(R3:R12)</f>
        <v>38500</v>
      </c>
      <c r="S13" s="64">
        <f t="shared" si="4"/>
        <v>0.11799999999999145</v>
      </c>
      <c r="T13" s="64">
        <f t="shared" si="4"/>
        <v>7.5923999999997285E-2</v>
      </c>
      <c r="U13" s="64">
        <f t="shared" si="4"/>
        <v>29.999999999999147</v>
      </c>
    </row>
    <row r="14" spans="1:21" x14ac:dyDescent="0.35">
      <c r="B14" s="10">
        <v>100</v>
      </c>
      <c r="C14" s="10">
        <v>100.91</v>
      </c>
      <c r="D14" s="10">
        <v>99.49</v>
      </c>
      <c r="E14" s="10">
        <v>100.24</v>
      </c>
      <c r="F14" s="10">
        <v>100.67</v>
      </c>
      <c r="G14" s="10">
        <v>99.42</v>
      </c>
      <c r="H14" s="10">
        <f t="shared" si="3"/>
        <v>0.1460000000000008</v>
      </c>
      <c r="I14" s="51"/>
    </row>
    <row r="16" spans="1:21" ht="17.5" x14ac:dyDescent="0.35">
      <c r="A16" s="47" t="s">
        <v>98</v>
      </c>
      <c r="B16" s="75">
        <v>0.03</v>
      </c>
      <c r="E16" s="46" t="s">
        <v>82</v>
      </c>
    </row>
    <row r="17" spans="1:5" ht="17.5" x14ac:dyDescent="0.35">
      <c r="A17" s="47" t="s">
        <v>89</v>
      </c>
      <c r="B17" s="55">
        <f>SLOPE(H5:H14,B5:B14)</f>
        <v>2.8496969696969231E-3</v>
      </c>
      <c r="C17" s="53">
        <f>(B21*U13-Q13*S13)/(B21*R13-Q13^2)</f>
        <v>2.8496969696969235E-3</v>
      </c>
      <c r="E17" s="48" t="s">
        <v>83</v>
      </c>
    </row>
    <row r="18" spans="1:5" ht="16.5" x14ac:dyDescent="0.4">
      <c r="A18" s="47" t="s">
        <v>90</v>
      </c>
      <c r="B18" s="55">
        <f>INTERCEPT(H5:H14,B5:B14)</f>
        <v>-0.14493333333333164</v>
      </c>
      <c r="C18" s="53">
        <f>(S13-C17*Q13)/B21</f>
        <v>-0.14493333333333164</v>
      </c>
    </row>
    <row r="19" spans="1:5" x14ac:dyDescent="0.35">
      <c r="A19" s="47" t="s">
        <v>96</v>
      </c>
      <c r="B19" s="56">
        <f>B17</f>
        <v>2.8496969696969231E-3</v>
      </c>
      <c r="C19" s="54">
        <f>C17</f>
        <v>2.8496969696969235E-3</v>
      </c>
    </row>
    <row r="20" spans="1:5" x14ac:dyDescent="0.35">
      <c r="A20" s="47" t="s">
        <v>97</v>
      </c>
      <c r="B20" s="76">
        <f>B17*B16</f>
        <v>8.5490909090907692E-5</v>
      </c>
      <c r="C20" s="52">
        <f>C17*B16</f>
        <v>8.5490909090907706E-5</v>
      </c>
    </row>
    <row r="21" spans="1:5" x14ac:dyDescent="0.35">
      <c r="A21" s="47" t="s">
        <v>87</v>
      </c>
      <c r="B21" s="57">
        <f>COUNTA(B5:B14)</f>
        <v>10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Linearity-1</vt:lpstr>
      <vt:lpstr>Bias</vt:lpstr>
      <vt:lpstr>Repeatability &amp; Reproducibility</vt:lpstr>
      <vt:lpstr>Linearity-2</vt:lpstr>
    </vt:vector>
  </TitlesOfParts>
  <Company>Engineered Software,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Arnab</cp:lastModifiedBy>
  <dcterms:created xsi:type="dcterms:W3CDTF">2001-11-21T01:33:21Z</dcterms:created>
  <dcterms:modified xsi:type="dcterms:W3CDTF">2023-05-09T11:54:39Z</dcterms:modified>
</cp:coreProperties>
</file>