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Arnab Docs\Six Sigma\SS Study Guide\"/>
    </mc:Choice>
  </mc:AlternateContent>
  <xr:revisionPtr revIDLastSave="0" documentId="13_ncr:1_{0BDCEAFD-D941-4ADF-890C-8A91054327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ttendance" sheetId="1" r:id="rId1"/>
    <sheet name="Correlation &amp; Regression-1" sheetId="2" r:id="rId2"/>
    <sheet name="Correlation &amp; Regression-2" sheetId="4" r:id="rId3"/>
    <sheet name="Salary Calculation" sheetId="3" r:id="rId4"/>
    <sheet name="X-Bar &amp; R Control Chart" sheetId="5" r:id="rId5"/>
    <sheet name="X-Bar &amp; R Control Chart (2)" sheetId="7" r:id="rId6"/>
    <sheet name="P Chart" sheetId="6" r:id="rId7"/>
    <sheet name="C Chart" sheetId="8" r:id="rId8"/>
    <sheet name="One Way ANOVA" sheetId="9" r:id="rId9"/>
    <sheet name="One-Way ANOVA (Calculations)" sheetId="10" r:id="rId10"/>
    <sheet name="Two-Way ANOVA" sheetId="11" r:id="rId11"/>
    <sheet name="Multi-Factor ANOVA" sheetId="12" r:id="rId12"/>
    <sheet name="Reliability Case Study-1" sheetId="14" r:id="rId13"/>
    <sheet name="Bias Linearity" sheetId="15" r:id="rId14"/>
    <sheet name="Bias" sheetId="16" r:id="rId15"/>
    <sheet name="Repeatability &amp; Reproducibility" sheetId="17" r:id="rId16"/>
    <sheet name="Linearity-2" sheetId="18" r:id="rId17"/>
  </sheets>
  <definedNames>
    <definedName name="__shared_1_0_0" localSheetId="11">#REF!*#REF!^#REF!</definedName>
    <definedName name="__shared_1_0_0" localSheetId="10">#REF!*#REF!^#REF!</definedName>
    <definedName name="__shared_1_0_0">#REF!*#REF!^#REF!</definedName>
    <definedName name="__shared_10_0_0" localSheetId="11">SUM(#REF!)</definedName>
    <definedName name="__shared_10_0_0" localSheetId="10">SUM(#REF!)</definedName>
    <definedName name="__shared_10_0_0">SUM(#REF!)</definedName>
    <definedName name="__shared_12_0_0" localSheetId="11">SUM(#REF!)</definedName>
    <definedName name="__shared_12_0_0" localSheetId="10">SUM(#REF!)</definedName>
    <definedName name="__shared_12_0_0">SUM(#REF!)</definedName>
    <definedName name="__shared_13_0_0" localSheetId="11">SUM(#REF!)</definedName>
    <definedName name="__shared_13_0_0" localSheetId="10">SUM(#REF!)</definedName>
    <definedName name="__shared_13_0_0">SUM(#REF!)</definedName>
    <definedName name="__shared_19_0_0" localSheetId="11">SUM(#REF!)</definedName>
    <definedName name="__shared_19_0_0" localSheetId="10">SUM(#REF!)</definedName>
    <definedName name="__shared_19_0_0">SUM(#REF!)</definedName>
    <definedName name="__shared_2_0_0" localSheetId="11">SUM(#REF!)</definedName>
    <definedName name="__shared_2_0_0" localSheetId="10">SUM(#REF!)</definedName>
    <definedName name="__shared_2_0_0">SUM(#REF!)</definedName>
    <definedName name="__shared_25_0_0">YEAR(#REF!)</definedName>
    <definedName name="__shared_25_0_1">YEAR(#REF!)</definedName>
    <definedName name="__shared_25_0_10">YEAR(#REF!)</definedName>
    <definedName name="__shared_25_0_11">YEAR(#REF!)</definedName>
    <definedName name="__shared_25_0_12">YEAR(#REF!)</definedName>
    <definedName name="__shared_25_0_2">YEAR(#REF!)</definedName>
    <definedName name="__shared_25_0_3">YEAR(#REF!)</definedName>
    <definedName name="__shared_25_0_4">YEAR(#REF!)</definedName>
    <definedName name="__shared_25_0_5">YEAR(#REF!)</definedName>
    <definedName name="__shared_25_0_6">YEAR(#REF!)</definedName>
    <definedName name="__shared_25_0_7">YEAR(#REF!)</definedName>
    <definedName name="__shared_25_0_8">YEAR(#REF!)</definedName>
    <definedName name="__shared_25_0_9">YEAR(#REF!)</definedName>
    <definedName name="__shared_3_0_1" localSheetId="11">SUM(#REF!)</definedName>
    <definedName name="__shared_3_0_1" localSheetId="10">SUM(#REF!)</definedName>
    <definedName name="__shared_3_0_1">SUM(#REF!)</definedName>
    <definedName name="__shared_9_0_0" localSheetId="11">SUM(#REF!)</definedName>
    <definedName name="__shared_9_0_0" localSheetId="10">SUM(#REF!)</definedName>
    <definedName name="__shared_9_0_0">SUM(#REF!)</definedName>
    <definedName name="OLE_LINK1" localSheetId="11">'Multi-Factor ANOVA'!#REF!</definedName>
    <definedName name="OLE_LINK1" localSheetId="9">'One-Way ANOVA (Calculations)'!$A$4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18" l="1"/>
  <c r="B23" i="18"/>
  <c r="H6" i="18"/>
  <c r="B17" i="18" s="1"/>
  <c r="B19" i="18" s="1"/>
  <c r="H7" i="18"/>
  <c r="H8" i="18"/>
  <c r="H9" i="18"/>
  <c r="H10" i="18"/>
  <c r="H11" i="18"/>
  <c r="H12" i="18"/>
  <c r="H13" i="18"/>
  <c r="H14" i="18"/>
  <c r="H5" i="18"/>
  <c r="B21" i="18"/>
  <c r="S13" i="18"/>
  <c r="Q13" i="18"/>
  <c r="U12" i="18"/>
  <c r="T12" i="18"/>
  <c r="R12" i="18"/>
  <c r="U11" i="18"/>
  <c r="T11" i="18"/>
  <c r="R11" i="18"/>
  <c r="U10" i="18"/>
  <c r="T10" i="18"/>
  <c r="R10" i="18"/>
  <c r="U9" i="18"/>
  <c r="T9" i="18"/>
  <c r="R9" i="18"/>
  <c r="U8" i="18"/>
  <c r="T8" i="18"/>
  <c r="R8" i="18"/>
  <c r="U7" i="18"/>
  <c r="T7" i="18"/>
  <c r="R7" i="18"/>
  <c r="U6" i="18"/>
  <c r="T6" i="18"/>
  <c r="R6" i="18"/>
  <c r="U5" i="18"/>
  <c r="T5" i="18"/>
  <c r="R5" i="18"/>
  <c r="U4" i="18"/>
  <c r="U13" i="18" s="1"/>
  <c r="C17" i="18" s="1"/>
  <c r="T4" i="18"/>
  <c r="R4" i="18"/>
  <c r="U3" i="18"/>
  <c r="T3" i="18"/>
  <c r="T13" i="18" s="1"/>
  <c r="R3" i="18"/>
  <c r="R13" i="18" s="1"/>
  <c r="R63" i="17"/>
  <c r="S63" i="17" s="1"/>
  <c r="Q63" i="17"/>
  <c r="R62" i="17"/>
  <c r="S62" i="17" s="1"/>
  <c r="Q62" i="17"/>
  <c r="Q61" i="17"/>
  <c r="R61" i="17" s="1"/>
  <c r="S61" i="17" s="1"/>
  <c r="Q60" i="17"/>
  <c r="R60" i="17" s="1"/>
  <c r="S60" i="17" s="1"/>
  <c r="Q59" i="17"/>
  <c r="R59" i="17" s="1"/>
  <c r="S59" i="17" s="1"/>
  <c r="Q58" i="17"/>
  <c r="R58" i="17" s="1"/>
  <c r="S58" i="17" s="1"/>
  <c r="R57" i="17"/>
  <c r="S57" i="17" s="1"/>
  <c r="Q57" i="17"/>
  <c r="Q56" i="17"/>
  <c r="R56" i="17" s="1"/>
  <c r="S56" i="17" s="1"/>
  <c r="R55" i="17"/>
  <c r="S55" i="17" s="1"/>
  <c r="Q55" i="17"/>
  <c r="Q54" i="17"/>
  <c r="R54" i="17" s="1"/>
  <c r="S54" i="17" s="1"/>
  <c r="Q53" i="17"/>
  <c r="R53" i="17" s="1"/>
  <c r="S53" i="17" s="1"/>
  <c r="Q52" i="17"/>
  <c r="R52" i="17" s="1"/>
  <c r="S52" i="17" s="1"/>
  <c r="Q51" i="17"/>
  <c r="R51" i="17" s="1"/>
  <c r="S51" i="17" s="1"/>
  <c r="R50" i="17"/>
  <c r="S50" i="17" s="1"/>
  <c r="Q50" i="17"/>
  <c r="Q49" i="17"/>
  <c r="R49" i="17" s="1"/>
  <c r="S49" i="17" s="1"/>
  <c r="Q48" i="17"/>
  <c r="R48" i="17" s="1"/>
  <c r="S48" i="17" s="1"/>
  <c r="Q47" i="17"/>
  <c r="R47" i="17" s="1"/>
  <c r="S47" i="17" s="1"/>
  <c r="R46" i="17"/>
  <c r="S46" i="17" s="1"/>
  <c r="Q46" i="17"/>
  <c r="R45" i="17"/>
  <c r="S45" i="17" s="1"/>
  <c r="Q45" i="17"/>
  <c r="Q44" i="17"/>
  <c r="R44" i="17" s="1"/>
  <c r="S44" i="17" s="1"/>
  <c r="Q43" i="17"/>
  <c r="R43" i="17" s="1"/>
  <c r="S43" i="17" s="1"/>
  <c r="Q42" i="17"/>
  <c r="R42" i="17" s="1"/>
  <c r="S42" i="17" s="1"/>
  <c r="R41" i="17"/>
  <c r="S41" i="17" s="1"/>
  <c r="Q41" i="17"/>
  <c r="Q40" i="17"/>
  <c r="R40" i="17" s="1"/>
  <c r="S40" i="17" s="1"/>
  <c r="R39" i="17"/>
  <c r="S39" i="17" s="1"/>
  <c r="Q39" i="17"/>
  <c r="Q38" i="17"/>
  <c r="R38" i="17" s="1"/>
  <c r="S38" i="17" s="1"/>
  <c r="Q37" i="17"/>
  <c r="R37" i="17" s="1"/>
  <c r="S37" i="17" s="1"/>
  <c r="R36" i="17"/>
  <c r="S36" i="17" s="1"/>
  <c r="Q36" i="17"/>
  <c r="Q35" i="17"/>
  <c r="R35" i="17" s="1"/>
  <c r="S35" i="17" s="1"/>
  <c r="R34" i="17"/>
  <c r="S34" i="17" s="1"/>
  <c r="S64" i="17" s="1"/>
  <c r="Q34" i="17"/>
  <c r="G29" i="17"/>
  <c r="F29" i="17"/>
  <c r="E29" i="17"/>
  <c r="D29" i="17"/>
  <c r="C29" i="17"/>
  <c r="B29" i="17"/>
  <c r="G28" i="17"/>
  <c r="F28" i="17"/>
  <c r="E28" i="17"/>
  <c r="D28" i="17"/>
  <c r="C28" i="17"/>
  <c r="B28" i="17"/>
  <c r="Q27" i="17"/>
  <c r="R27" i="17" s="1"/>
  <c r="S27" i="17" s="1"/>
  <c r="G27" i="17"/>
  <c r="F27" i="17"/>
  <c r="E27" i="17"/>
  <c r="D27" i="17"/>
  <c r="C27" i="17"/>
  <c r="B27" i="17"/>
  <c r="R26" i="17"/>
  <c r="S26" i="17" s="1"/>
  <c r="Q26" i="17"/>
  <c r="G26" i="17"/>
  <c r="F26" i="17"/>
  <c r="E26" i="17"/>
  <c r="D26" i="17"/>
  <c r="C26" i="17"/>
  <c r="B26" i="17"/>
  <c r="Q25" i="17"/>
  <c r="R25" i="17" s="1"/>
  <c r="S25" i="17" s="1"/>
  <c r="G25" i="17"/>
  <c r="F25" i="17"/>
  <c r="E25" i="17"/>
  <c r="D25" i="17"/>
  <c r="C25" i="17"/>
  <c r="B25" i="17"/>
  <c r="Q24" i="17"/>
  <c r="R24" i="17" s="1"/>
  <c r="S24" i="17" s="1"/>
  <c r="G24" i="17"/>
  <c r="F24" i="17"/>
  <c r="E24" i="17"/>
  <c r="D24" i="17"/>
  <c r="C24" i="17"/>
  <c r="B24" i="17"/>
  <c r="Q23" i="17"/>
  <c r="R23" i="17" s="1"/>
  <c r="S23" i="17" s="1"/>
  <c r="G23" i="17"/>
  <c r="F23" i="17"/>
  <c r="E23" i="17"/>
  <c r="D23" i="17"/>
  <c r="C23" i="17"/>
  <c r="B23" i="17"/>
  <c r="R22" i="17"/>
  <c r="S22" i="17" s="1"/>
  <c r="Q22" i="17"/>
  <c r="G22" i="17"/>
  <c r="F22" i="17"/>
  <c r="E22" i="17"/>
  <c r="D22" i="17"/>
  <c r="C22" i="17"/>
  <c r="B22" i="17"/>
  <c r="Q21" i="17"/>
  <c r="R21" i="17" s="1"/>
  <c r="S21" i="17" s="1"/>
  <c r="G21" i="17"/>
  <c r="F21" i="17"/>
  <c r="E21" i="17"/>
  <c r="D21" i="17"/>
  <c r="C21" i="17"/>
  <c r="B21" i="17"/>
  <c r="R20" i="17"/>
  <c r="S20" i="17" s="1"/>
  <c r="Q20" i="17"/>
  <c r="K20" i="17"/>
  <c r="G20" i="17"/>
  <c r="F20" i="17"/>
  <c r="E20" i="17"/>
  <c r="D20" i="17"/>
  <c r="C20" i="17"/>
  <c r="B20" i="17"/>
  <c r="Q19" i="17"/>
  <c r="R19" i="17" s="1"/>
  <c r="S19" i="17" s="1"/>
  <c r="Q18" i="17"/>
  <c r="R18" i="17" s="1"/>
  <c r="S18" i="17" s="1"/>
  <c r="I13" i="17"/>
  <c r="J20" i="17" s="1"/>
  <c r="I12" i="17"/>
  <c r="I11" i="17"/>
  <c r="K17" i="17" s="1"/>
  <c r="I10" i="17"/>
  <c r="K16" i="17" s="1"/>
  <c r="K18" i="17" s="1"/>
  <c r="Q8" i="17"/>
  <c r="R8" i="17" s="1"/>
  <c r="S8" i="17" s="1"/>
  <c r="R7" i="17"/>
  <c r="S7" i="17" s="1"/>
  <c r="Q7" i="17"/>
  <c r="Q6" i="17"/>
  <c r="R6" i="17" s="1"/>
  <c r="S6" i="17" s="1"/>
  <c r="C4" i="16"/>
  <c r="K19" i="16"/>
  <c r="B7" i="16"/>
  <c r="B5" i="16"/>
  <c r="B4" i="16"/>
  <c r="B9" i="16" s="1"/>
  <c r="B18" i="18" l="1"/>
  <c r="C19" i="18"/>
  <c r="C18" i="18"/>
  <c r="S28" i="17"/>
  <c r="J17" i="17" s="1"/>
  <c r="L17" i="17" s="1"/>
  <c r="S9" i="17"/>
  <c r="J16" i="17" s="1"/>
  <c r="L16" i="17" s="1"/>
  <c r="K19" i="17"/>
  <c r="B8" i="16"/>
  <c r="J18" i="17" l="1"/>
  <c r="L18" i="17" s="1"/>
  <c r="J19" i="17" l="1"/>
  <c r="L19" i="17" s="1"/>
  <c r="M18" i="17" s="1"/>
  <c r="L46" i="17"/>
  <c r="L59" i="17"/>
  <c r="L39" i="17"/>
  <c r="L33" i="17" l="1"/>
  <c r="L52" i="17" s="1"/>
  <c r="L65" i="17" s="1"/>
  <c r="M17" i="17"/>
  <c r="M16" i="17"/>
  <c r="C12" i="15" l="1"/>
  <c r="C11" i="15"/>
  <c r="D5" i="15"/>
  <c r="D6" i="15"/>
  <c r="D7" i="15"/>
  <c r="D8" i="15"/>
  <c r="D4" i="15"/>
  <c r="A18" i="14"/>
  <c r="A17" i="14"/>
  <c r="A16" i="14"/>
  <c r="A15" i="14"/>
  <c r="A14" i="14"/>
  <c r="A13" i="14"/>
  <c r="B5" i="14"/>
  <c r="C13" i="15" l="1"/>
  <c r="I21" i="12" a="1"/>
  <c r="I21" i="12" s="1"/>
  <c r="J21" i="12" s="1"/>
  <c r="I20" i="12" a="1"/>
  <c r="I20" i="12" s="1"/>
  <c r="G36" i="12" a="1"/>
  <c r="G36" i="12" s="1"/>
  <c r="P11" i="12"/>
  <c r="O22" i="12"/>
  <c r="N22" i="12"/>
  <c r="I22" i="12" a="1"/>
  <c r="I22" i="12" s="1"/>
  <c r="O21" i="12"/>
  <c r="P21" i="12" s="1"/>
  <c r="N21" i="12"/>
  <c r="H21" i="12"/>
  <c r="O20" i="12"/>
  <c r="N20" i="12"/>
  <c r="H20" i="12"/>
  <c r="O19" i="12"/>
  <c r="P19" i="12" s="1"/>
  <c r="N19" i="12"/>
  <c r="I19" i="12" a="1"/>
  <c r="I19" i="12" s="1"/>
  <c r="H19" i="12"/>
  <c r="J19" i="12" s="1"/>
  <c r="O18" i="12"/>
  <c r="N18" i="12"/>
  <c r="I18" i="12" a="1"/>
  <c r="I18" i="12" s="1"/>
  <c r="H18" i="12"/>
  <c r="O17" i="12"/>
  <c r="P17" i="12" s="1"/>
  <c r="N17" i="12"/>
  <c r="I17" i="12" a="1"/>
  <c r="I17" i="12" s="1"/>
  <c r="H17" i="12"/>
  <c r="J17" i="12" s="1"/>
  <c r="R16" i="12"/>
  <c r="O16" i="12"/>
  <c r="N16" i="12"/>
  <c r="I16" i="12" a="1"/>
  <c r="I16" i="12" s="1"/>
  <c r="H16" i="12"/>
  <c r="J16" i="12" s="1"/>
  <c r="R15" i="12"/>
  <c r="O15" i="12"/>
  <c r="P15" i="12" s="1"/>
  <c r="N15" i="12"/>
  <c r="R14" i="12"/>
  <c r="O14" i="12"/>
  <c r="N14" i="12"/>
  <c r="R13" i="12"/>
  <c r="R17" i="12" s="1"/>
  <c r="U12" i="12" s="1"/>
  <c r="O13" i="12"/>
  <c r="P13" i="12" s="1"/>
  <c r="N13" i="12"/>
  <c r="H13" i="12"/>
  <c r="R12" i="12"/>
  <c r="O12" i="12"/>
  <c r="N12" i="12"/>
  <c r="H12" i="12"/>
  <c r="A12" i="12"/>
  <c r="I23" i="12" s="1"/>
  <c r="U11" i="12"/>
  <c r="U10" i="12" s="1"/>
  <c r="R11" i="12"/>
  <c r="O11" i="12"/>
  <c r="N11" i="12"/>
  <c r="J11" i="12"/>
  <c r="J10" i="12"/>
  <c r="J9" i="12"/>
  <c r="J8" i="12"/>
  <c r="J7" i="12"/>
  <c r="J6" i="12"/>
  <c r="J5" i="12"/>
  <c r="J4" i="12"/>
  <c r="J12" i="12" s="1"/>
  <c r="M9" i="12" s="1"/>
  <c r="H23" i="12" s="1"/>
  <c r="H22" i="12" s="1"/>
  <c r="J22" i="12" s="1"/>
  <c r="F1" i="12" a="1"/>
  <c r="F1" i="12" s="1"/>
  <c r="K17" i="12" l="1"/>
  <c r="K21" i="12"/>
  <c r="K16" i="12"/>
  <c r="J18" i="12"/>
  <c r="K18" i="12" s="1"/>
  <c r="J20" i="12"/>
  <c r="K20" i="12" s="1"/>
  <c r="K19" i="12"/>
  <c r="L14" i="9" l="1"/>
  <c r="K16" i="10"/>
  <c r="I50" i="10"/>
  <c r="F50" i="10"/>
  <c r="I49" i="10"/>
  <c r="H49" i="10"/>
  <c r="G49" i="10"/>
  <c r="F49" i="10"/>
  <c r="I48" i="10"/>
  <c r="H48" i="10"/>
  <c r="G48" i="10"/>
  <c r="F48" i="10"/>
  <c r="I47" i="10"/>
  <c r="H47" i="10"/>
  <c r="G47" i="10"/>
  <c r="F47" i="10"/>
  <c r="I46" i="10"/>
  <c r="H46" i="10"/>
  <c r="G46" i="10"/>
  <c r="F46" i="10"/>
  <c r="I45" i="10"/>
  <c r="H45" i="10"/>
  <c r="G45" i="10"/>
  <c r="F45" i="10"/>
  <c r="I44" i="10"/>
  <c r="H44" i="10"/>
  <c r="G44" i="10"/>
  <c r="F44" i="10"/>
  <c r="I43" i="10"/>
  <c r="H43" i="10"/>
  <c r="G43" i="10"/>
  <c r="F43" i="10"/>
  <c r="K43" i="10" s="1"/>
  <c r="H17" i="10"/>
  <c r="H16" i="10"/>
  <c r="L16" i="10" s="1"/>
  <c r="H12" i="10"/>
  <c r="F12" i="10"/>
  <c r="J11" i="10"/>
  <c r="I11" i="10"/>
  <c r="H11" i="10"/>
  <c r="G11" i="10"/>
  <c r="J10" i="10"/>
  <c r="I10" i="10"/>
  <c r="H10" i="10"/>
  <c r="G10" i="10"/>
  <c r="J9" i="10"/>
  <c r="I9" i="10"/>
  <c r="H9" i="10"/>
  <c r="G9" i="10"/>
  <c r="J8" i="10"/>
  <c r="I8" i="10"/>
  <c r="H8" i="10"/>
  <c r="G8" i="10"/>
  <c r="G12" i="10" s="1"/>
  <c r="G16" i="10" s="1"/>
  <c r="I16" i="10" s="1"/>
  <c r="K14" i="9"/>
  <c r="J15" i="9"/>
  <c r="J14" i="9"/>
  <c r="I17" i="9"/>
  <c r="I15" i="9"/>
  <c r="I14" i="9"/>
  <c r="L4" i="9"/>
  <c r="H15" i="9"/>
  <c r="H17" i="9"/>
  <c r="B19" i="9"/>
  <c r="C19" i="9"/>
  <c r="D19" i="9"/>
  <c r="E19" i="9"/>
  <c r="B20" i="9"/>
  <c r="C20" i="9"/>
  <c r="D20" i="9"/>
  <c r="E20" i="9"/>
  <c r="B21" i="9"/>
  <c r="C21" i="9"/>
  <c r="D21" i="9"/>
  <c r="E21" i="9"/>
  <c r="B22" i="9"/>
  <c r="C22" i="9"/>
  <c r="D22" i="9"/>
  <c r="E22" i="9"/>
  <c r="B23" i="9"/>
  <c r="C23" i="9"/>
  <c r="D23" i="9"/>
  <c r="E23" i="9"/>
  <c r="B24" i="9"/>
  <c r="C24" i="9"/>
  <c r="D24" i="9"/>
  <c r="E24" i="9"/>
  <c r="B25" i="9"/>
  <c r="E25" i="9"/>
  <c r="C18" i="9"/>
  <c r="D18" i="9"/>
  <c r="E18" i="9"/>
  <c r="B18" i="9"/>
  <c r="H14" i="9"/>
  <c r="I4" i="9"/>
  <c r="I3" i="9"/>
  <c r="E14" i="9"/>
  <c r="E13" i="9"/>
  <c r="E12" i="9"/>
  <c r="E11" i="9"/>
  <c r="D14" i="9"/>
  <c r="D13" i="9"/>
  <c r="D12" i="9"/>
  <c r="D11" i="9"/>
  <c r="C14" i="9"/>
  <c r="C13" i="9"/>
  <c r="C12" i="9"/>
  <c r="C11" i="9"/>
  <c r="B14" i="9"/>
  <c r="B13" i="9"/>
  <c r="B12" i="9"/>
  <c r="B11" i="9"/>
  <c r="G19" i="10" l="1"/>
  <c r="G17" i="10" s="1"/>
  <c r="I17" i="10" s="1"/>
  <c r="J16" i="10" s="1"/>
  <c r="H19" i="10"/>
  <c r="P10" i="8" l="1"/>
  <c r="P9" i="8"/>
  <c r="P7" i="8"/>
  <c r="N7" i="8"/>
  <c r="M7" i="8"/>
  <c r="O7" i="8"/>
  <c r="L7" i="8"/>
  <c r="N3" i="8"/>
  <c r="D5" i="8" l="1"/>
  <c r="E5" i="8"/>
  <c r="F5" i="8"/>
  <c r="D6" i="8"/>
  <c r="E6" i="8"/>
  <c r="F6" i="8"/>
  <c r="D7" i="8"/>
  <c r="E7" i="8"/>
  <c r="F7" i="8"/>
  <c r="D8" i="8"/>
  <c r="E8" i="8"/>
  <c r="F8" i="8"/>
  <c r="D9" i="8"/>
  <c r="E9" i="8"/>
  <c r="F9" i="8"/>
  <c r="D10" i="8"/>
  <c r="E10" i="8"/>
  <c r="F10" i="8"/>
  <c r="D11" i="8"/>
  <c r="E11" i="8"/>
  <c r="F11" i="8"/>
  <c r="D12" i="8"/>
  <c r="E12" i="8"/>
  <c r="F12" i="8"/>
  <c r="D13" i="8"/>
  <c r="E13" i="8"/>
  <c r="F13" i="8"/>
  <c r="D14" i="8"/>
  <c r="E14" i="8"/>
  <c r="F14" i="8"/>
  <c r="D15" i="8"/>
  <c r="E15" i="8"/>
  <c r="F15" i="8"/>
  <c r="D16" i="8"/>
  <c r="E16" i="8"/>
  <c r="F16" i="8"/>
  <c r="D17" i="8"/>
  <c r="E17" i="8"/>
  <c r="F17" i="8"/>
  <c r="D18" i="8"/>
  <c r="E18" i="8"/>
  <c r="F18" i="8"/>
  <c r="D19" i="8"/>
  <c r="E19" i="8"/>
  <c r="F19" i="8"/>
  <c r="D20" i="8"/>
  <c r="E20" i="8"/>
  <c r="F20" i="8"/>
  <c r="D21" i="8"/>
  <c r="E21" i="8"/>
  <c r="F21" i="8"/>
  <c r="D22" i="8"/>
  <c r="E22" i="8"/>
  <c r="F22" i="8"/>
  <c r="D23" i="8"/>
  <c r="E23" i="8"/>
  <c r="F23" i="8"/>
  <c r="F4" i="8"/>
  <c r="E4" i="8"/>
  <c r="D4" i="8"/>
  <c r="G7" i="8"/>
  <c r="G6" i="8"/>
  <c r="G4" i="8"/>
  <c r="G3" i="8"/>
  <c r="E5" i="6"/>
  <c r="F5" i="6"/>
  <c r="G5" i="6"/>
  <c r="E6" i="6"/>
  <c r="F6" i="6"/>
  <c r="G6" i="6"/>
  <c r="E7" i="6"/>
  <c r="F7" i="6"/>
  <c r="G7" i="6"/>
  <c r="E8" i="6"/>
  <c r="F8" i="6"/>
  <c r="G8" i="6"/>
  <c r="E9" i="6"/>
  <c r="F9" i="6"/>
  <c r="G9" i="6"/>
  <c r="E10" i="6"/>
  <c r="F10" i="6"/>
  <c r="G10" i="6"/>
  <c r="E11" i="6"/>
  <c r="F11" i="6"/>
  <c r="G11" i="6"/>
  <c r="E12" i="6"/>
  <c r="F12" i="6"/>
  <c r="G12" i="6"/>
  <c r="E13" i="6"/>
  <c r="F13" i="6"/>
  <c r="G13" i="6"/>
  <c r="E14" i="6"/>
  <c r="F14" i="6"/>
  <c r="G14" i="6"/>
  <c r="E15" i="6"/>
  <c r="F15" i="6"/>
  <c r="G15" i="6"/>
  <c r="E16" i="6"/>
  <c r="F16" i="6"/>
  <c r="G16" i="6"/>
  <c r="E17" i="6"/>
  <c r="F17" i="6"/>
  <c r="G17" i="6"/>
  <c r="E18" i="6"/>
  <c r="F18" i="6"/>
  <c r="G18" i="6"/>
  <c r="E19" i="6"/>
  <c r="F19" i="6"/>
  <c r="G19" i="6"/>
  <c r="E20" i="6"/>
  <c r="F20" i="6"/>
  <c r="G20" i="6"/>
  <c r="E21" i="6"/>
  <c r="F21" i="6"/>
  <c r="G21" i="6"/>
  <c r="E22" i="6"/>
  <c r="F22" i="6"/>
  <c r="G22" i="6"/>
  <c r="E23" i="6"/>
  <c r="F23" i="6"/>
  <c r="G23" i="6"/>
  <c r="G4" i="6"/>
  <c r="F4" i="6"/>
  <c r="E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4" i="6"/>
  <c r="I5" i="6" s="1"/>
  <c r="I2" i="6"/>
  <c r="P2" i="7"/>
  <c r="Q2" i="7"/>
  <c r="Q1" i="7"/>
  <c r="P1" i="7"/>
  <c r="G2" i="7"/>
  <c r="H2" i="7"/>
  <c r="H1" i="7"/>
  <c r="G1" i="7"/>
  <c r="H29" i="7"/>
  <c r="G29" i="7"/>
  <c r="H28" i="7"/>
  <c r="G28" i="7"/>
  <c r="H27" i="7"/>
  <c r="G27" i="7"/>
  <c r="H26" i="7"/>
  <c r="G26" i="7"/>
  <c r="H25" i="7"/>
  <c r="G25" i="7"/>
  <c r="H24" i="7"/>
  <c r="G24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H15" i="7"/>
  <c r="G15" i="7"/>
  <c r="H14" i="7"/>
  <c r="G14" i="7"/>
  <c r="H13" i="7"/>
  <c r="G13" i="7"/>
  <c r="H12" i="7"/>
  <c r="G12" i="7"/>
  <c r="H11" i="7"/>
  <c r="G11" i="7"/>
  <c r="H10" i="7"/>
  <c r="G10" i="7"/>
  <c r="R9" i="7"/>
  <c r="H9" i="7"/>
  <c r="G9" i="7"/>
  <c r="R8" i="7"/>
  <c r="R17" i="7" s="1"/>
  <c r="H8" i="7"/>
  <c r="G8" i="7"/>
  <c r="H7" i="7"/>
  <c r="G7" i="7"/>
  <c r="H6" i="7"/>
  <c r="G6" i="7"/>
  <c r="H5" i="7"/>
  <c r="G5" i="7"/>
  <c r="R15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4" i="5"/>
  <c r="R8" i="5"/>
  <c r="R7" i="5"/>
  <c r="R9" i="5" s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4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I6" i="6" l="1"/>
  <c r="I8" i="6" s="1"/>
  <c r="R6" i="7"/>
  <c r="N26" i="7" s="1"/>
  <c r="R5" i="7"/>
  <c r="I15" i="7" s="1"/>
  <c r="R10" i="7"/>
  <c r="R13" i="7"/>
  <c r="R16" i="7"/>
  <c r="R12" i="5"/>
  <c r="R16" i="5"/>
  <c r="R17" i="5"/>
  <c r="R4" i="5"/>
  <c r="R14" i="5" s="1"/>
  <c r="R5" i="5"/>
  <c r="H24" i="4"/>
  <c r="I24" i="4"/>
  <c r="H25" i="4"/>
  <c r="I25" i="4"/>
  <c r="H26" i="4"/>
  <c r="I26" i="4"/>
  <c r="H27" i="4"/>
  <c r="I27" i="4"/>
  <c r="H28" i="4"/>
  <c r="I28" i="4"/>
  <c r="H29" i="4"/>
  <c r="I29" i="4"/>
  <c r="H30" i="4"/>
  <c r="I30" i="4"/>
  <c r="H31" i="4"/>
  <c r="I31" i="4"/>
  <c r="G26" i="4"/>
  <c r="G27" i="4"/>
  <c r="G28" i="4"/>
  <c r="G29" i="4"/>
  <c r="G30" i="4"/>
  <c r="G31" i="4"/>
  <c r="G25" i="4"/>
  <c r="G24" i="4"/>
  <c r="D32" i="4"/>
  <c r="E32" i="4"/>
  <c r="F32" i="4"/>
  <c r="I7" i="6" l="1"/>
  <c r="N10" i="7"/>
  <c r="N24" i="7"/>
  <c r="N14" i="7"/>
  <c r="I21" i="7"/>
  <c r="I14" i="7"/>
  <c r="N13" i="7"/>
  <c r="N20" i="7"/>
  <c r="R15" i="7"/>
  <c r="M13" i="7" s="1"/>
  <c r="I25" i="7"/>
  <c r="I6" i="7"/>
  <c r="N21" i="7"/>
  <c r="N23" i="7"/>
  <c r="I22" i="7"/>
  <c r="N12" i="7"/>
  <c r="N19" i="7"/>
  <c r="I29" i="7"/>
  <c r="N18" i="7"/>
  <c r="N11" i="7"/>
  <c r="I12" i="7"/>
  <c r="N16" i="7"/>
  <c r="N7" i="7"/>
  <c r="R18" i="7"/>
  <c r="O10" i="7" s="1"/>
  <c r="R11" i="7"/>
  <c r="I11" i="7"/>
  <c r="I20" i="7"/>
  <c r="N5" i="7"/>
  <c r="N9" i="7"/>
  <c r="N27" i="7"/>
  <c r="I10" i="7"/>
  <c r="I16" i="7"/>
  <c r="N28" i="7"/>
  <c r="I18" i="7"/>
  <c r="N25" i="7"/>
  <c r="I9" i="7"/>
  <c r="N22" i="7"/>
  <c r="N17" i="7"/>
  <c r="I13" i="7"/>
  <c r="N8" i="7"/>
  <c r="N15" i="7"/>
  <c r="N6" i="7"/>
  <c r="I7" i="7"/>
  <c r="I19" i="7"/>
  <c r="I24" i="7"/>
  <c r="I23" i="7"/>
  <c r="I28" i="7"/>
  <c r="I8" i="7"/>
  <c r="I27" i="7"/>
  <c r="I17" i="7"/>
  <c r="I26" i="7"/>
  <c r="I5" i="7"/>
  <c r="R19" i="7"/>
  <c r="N29" i="7"/>
  <c r="M11" i="7"/>
  <c r="M22" i="7"/>
  <c r="M16" i="7"/>
  <c r="M8" i="7"/>
  <c r="M5" i="7"/>
  <c r="M25" i="7"/>
  <c r="M18" i="7"/>
  <c r="M10" i="7"/>
  <c r="M7" i="7"/>
  <c r="M20" i="7"/>
  <c r="M24" i="7"/>
  <c r="M17" i="7"/>
  <c r="M9" i="7"/>
  <c r="M6" i="7"/>
  <c r="M27" i="7"/>
  <c r="J28" i="7"/>
  <c r="J24" i="7"/>
  <c r="J20" i="7"/>
  <c r="J12" i="7"/>
  <c r="J23" i="7"/>
  <c r="J17" i="7"/>
  <c r="J9" i="7"/>
  <c r="J6" i="7"/>
  <c r="J27" i="7"/>
  <c r="J14" i="7"/>
  <c r="J19" i="7"/>
  <c r="J11" i="7"/>
  <c r="J13" i="7"/>
  <c r="J26" i="7"/>
  <c r="J22" i="7"/>
  <c r="J16" i="7"/>
  <c r="J8" i="7"/>
  <c r="J5" i="7"/>
  <c r="J29" i="7"/>
  <c r="J25" i="7"/>
  <c r="J21" i="7"/>
  <c r="J18" i="7"/>
  <c r="J10" i="7"/>
  <c r="J7" i="7"/>
  <c r="J15" i="7"/>
  <c r="O29" i="7"/>
  <c r="O25" i="7"/>
  <c r="O21" i="7"/>
  <c r="O18" i="7"/>
  <c r="O15" i="7"/>
  <c r="O24" i="7"/>
  <c r="O20" i="7"/>
  <c r="O12" i="7"/>
  <c r="O23" i="7"/>
  <c r="O9" i="7"/>
  <c r="O27" i="7"/>
  <c r="O19" i="7"/>
  <c r="O11" i="7"/>
  <c r="O26" i="7"/>
  <c r="O8" i="7"/>
  <c r="R14" i="7"/>
  <c r="R12" i="7"/>
  <c r="R18" i="5"/>
  <c r="O5" i="5"/>
  <c r="O9" i="5"/>
  <c r="O13" i="5"/>
  <c r="O17" i="5"/>
  <c r="O21" i="5"/>
  <c r="O25" i="5"/>
  <c r="O4" i="5"/>
  <c r="O24" i="5"/>
  <c r="O6" i="5"/>
  <c r="O10" i="5"/>
  <c r="O14" i="5"/>
  <c r="O18" i="5"/>
  <c r="O22" i="5"/>
  <c r="O26" i="5"/>
  <c r="O12" i="5"/>
  <c r="O16" i="5"/>
  <c r="O28" i="5"/>
  <c r="O7" i="5"/>
  <c r="O11" i="5"/>
  <c r="O15" i="5"/>
  <c r="O19" i="5"/>
  <c r="O23" i="5"/>
  <c r="O27" i="5"/>
  <c r="O20" i="5"/>
  <c r="O8" i="5"/>
  <c r="M7" i="5"/>
  <c r="M16" i="5"/>
  <c r="M18" i="5"/>
  <c r="M5" i="5"/>
  <c r="M15" i="5"/>
  <c r="M24" i="5"/>
  <c r="M26" i="5"/>
  <c r="M23" i="5"/>
  <c r="M4" i="5"/>
  <c r="M27" i="5"/>
  <c r="M6" i="5"/>
  <c r="M9" i="5"/>
  <c r="M19" i="5"/>
  <c r="M28" i="5"/>
  <c r="M13" i="5"/>
  <c r="M17" i="5"/>
  <c r="M21" i="5"/>
  <c r="M8" i="5"/>
  <c r="M10" i="5"/>
  <c r="M25" i="5"/>
  <c r="M12" i="5"/>
  <c r="M14" i="5"/>
  <c r="M11" i="5"/>
  <c r="M20" i="5"/>
  <c r="M22" i="5"/>
  <c r="R10" i="5"/>
  <c r="J5" i="5" s="1"/>
  <c r="R11" i="5"/>
  <c r="R13" i="5"/>
  <c r="L20" i="5" s="1"/>
  <c r="L8" i="5"/>
  <c r="L12" i="5"/>
  <c r="L26" i="5"/>
  <c r="L7" i="5"/>
  <c r="J10" i="5"/>
  <c r="J18" i="5"/>
  <c r="J26" i="5"/>
  <c r="J13" i="5"/>
  <c r="J21" i="5"/>
  <c r="J4" i="5"/>
  <c r="J12" i="5"/>
  <c r="J28" i="5"/>
  <c r="J23" i="5"/>
  <c r="J8" i="5"/>
  <c r="J16" i="5"/>
  <c r="J24" i="5"/>
  <c r="J15" i="5"/>
  <c r="J11" i="5"/>
  <c r="J19" i="5"/>
  <c r="J27" i="5"/>
  <c r="J6" i="5"/>
  <c r="J14" i="5"/>
  <c r="J22" i="5"/>
  <c r="J9" i="5"/>
  <c r="J17" i="5"/>
  <c r="J25" i="5"/>
  <c r="J20" i="5"/>
  <c r="J7" i="5"/>
  <c r="K7" i="5"/>
  <c r="K15" i="5"/>
  <c r="K23" i="5"/>
  <c r="K4" i="5"/>
  <c r="K10" i="5"/>
  <c r="K18" i="5"/>
  <c r="K26" i="5"/>
  <c r="K17" i="5"/>
  <c r="K12" i="5"/>
  <c r="K28" i="5"/>
  <c r="K5" i="5"/>
  <c r="K13" i="5"/>
  <c r="K21" i="5"/>
  <c r="K20" i="5"/>
  <c r="K8" i="5"/>
  <c r="K16" i="5"/>
  <c r="K24" i="5"/>
  <c r="K11" i="5"/>
  <c r="K19" i="5"/>
  <c r="K27" i="5"/>
  <c r="K6" i="5"/>
  <c r="K14" i="5"/>
  <c r="K22" i="5"/>
  <c r="K9" i="5"/>
  <c r="K25" i="5"/>
  <c r="I5" i="5"/>
  <c r="I13" i="5"/>
  <c r="I21" i="5"/>
  <c r="I8" i="5"/>
  <c r="I16" i="5"/>
  <c r="I24" i="5"/>
  <c r="I28" i="5"/>
  <c r="I7" i="5"/>
  <c r="I23" i="5"/>
  <c r="I18" i="5"/>
  <c r="I11" i="5"/>
  <c r="I19" i="5"/>
  <c r="I27" i="5"/>
  <c r="I4" i="5"/>
  <c r="I10" i="5"/>
  <c r="I26" i="5"/>
  <c r="I6" i="5"/>
  <c r="I14" i="5"/>
  <c r="I22" i="5"/>
  <c r="I9" i="5"/>
  <c r="I17" i="5"/>
  <c r="I25" i="5"/>
  <c r="I12" i="5"/>
  <c r="I20" i="5"/>
  <c r="I15" i="5"/>
  <c r="M10" i="4"/>
  <c r="M9" i="4"/>
  <c r="O4" i="4"/>
  <c r="O5" i="4"/>
  <c r="O6" i="4"/>
  <c r="O2" i="4"/>
  <c r="N3" i="4"/>
  <c r="O3" i="4" s="1"/>
  <c r="N4" i="4"/>
  <c r="N5" i="4"/>
  <c r="N6" i="4"/>
  <c r="N2" i="4"/>
  <c r="O5" i="7" l="1"/>
  <c r="O6" i="7"/>
  <c r="O28" i="7"/>
  <c r="O13" i="7"/>
  <c r="M12" i="7"/>
  <c r="M21" i="7"/>
  <c r="M26" i="7"/>
  <c r="O16" i="7"/>
  <c r="O17" i="7"/>
  <c r="O7" i="7"/>
  <c r="M14" i="7"/>
  <c r="M28" i="7"/>
  <c r="M29" i="7"/>
  <c r="M19" i="7"/>
  <c r="O22" i="7"/>
  <c r="O14" i="7"/>
  <c r="M23" i="7"/>
  <c r="M15" i="7"/>
  <c r="P18" i="7"/>
  <c r="P17" i="7"/>
  <c r="P26" i="7"/>
  <c r="P10" i="7"/>
  <c r="P9" i="7"/>
  <c r="P22" i="7"/>
  <c r="P7" i="7"/>
  <c r="P6" i="7"/>
  <c r="P16" i="7"/>
  <c r="P24" i="7"/>
  <c r="P11" i="7"/>
  <c r="P8" i="7"/>
  <c r="P12" i="7"/>
  <c r="P27" i="7"/>
  <c r="P5" i="7"/>
  <c r="P19" i="7"/>
  <c r="P29" i="7"/>
  <c r="P15" i="7"/>
  <c r="P23" i="7"/>
  <c r="P13" i="7"/>
  <c r="P20" i="7"/>
  <c r="P25" i="7"/>
  <c r="P28" i="7"/>
  <c r="P14" i="7"/>
  <c r="P21" i="7"/>
  <c r="L27" i="7"/>
  <c r="L23" i="7"/>
  <c r="L14" i="7"/>
  <c r="L16" i="7"/>
  <c r="L19" i="7"/>
  <c r="L11" i="7"/>
  <c r="L26" i="7"/>
  <c r="L22" i="7"/>
  <c r="L8" i="7"/>
  <c r="L13" i="7"/>
  <c r="L29" i="7"/>
  <c r="L25" i="7"/>
  <c r="L21" i="7"/>
  <c r="L18" i="7"/>
  <c r="L10" i="7"/>
  <c r="L7" i="7"/>
  <c r="L15" i="7"/>
  <c r="L28" i="7"/>
  <c r="L24" i="7"/>
  <c r="L20" i="7"/>
  <c r="L12" i="7"/>
  <c r="L17" i="7"/>
  <c r="L9" i="7"/>
  <c r="L6" i="7"/>
  <c r="L5" i="7"/>
  <c r="K17" i="7"/>
  <c r="K9" i="7"/>
  <c r="K6" i="7"/>
  <c r="K11" i="7"/>
  <c r="K27" i="7"/>
  <c r="K23" i="7"/>
  <c r="K14" i="7"/>
  <c r="K19" i="7"/>
  <c r="K26" i="7"/>
  <c r="K22" i="7"/>
  <c r="K16" i="7"/>
  <c r="K8" i="7"/>
  <c r="K5" i="7"/>
  <c r="K29" i="7"/>
  <c r="K10" i="7"/>
  <c r="K13" i="7"/>
  <c r="K25" i="7"/>
  <c r="K21" i="7"/>
  <c r="K18" i="7"/>
  <c r="K7" i="7"/>
  <c r="K15" i="7"/>
  <c r="K28" i="7"/>
  <c r="K24" i="7"/>
  <c r="K20" i="7"/>
  <c r="K12" i="7"/>
  <c r="L14" i="5"/>
  <c r="L21" i="5"/>
  <c r="L22" i="5"/>
  <c r="L17" i="5"/>
  <c r="L13" i="5"/>
  <c r="L23" i="5"/>
  <c r="L16" i="5"/>
  <c r="P4" i="5"/>
  <c r="P15" i="5"/>
  <c r="P5" i="5"/>
  <c r="P9" i="5"/>
  <c r="P13" i="5"/>
  <c r="P17" i="5"/>
  <c r="P21" i="5"/>
  <c r="P25" i="5"/>
  <c r="P23" i="5"/>
  <c r="P8" i="5"/>
  <c r="P28" i="5"/>
  <c r="P19" i="5"/>
  <c r="P6" i="5"/>
  <c r="P10" i="5"/>
  <c r="P14" i="5"/>
  <c r="P18" i="5"/>
  <c r="P22" i="5"/>
  <c r="P26" i="5"/>
  <c r="P11" i="5"/>
  <c r="P16" i="5"/>
  <c r="P20" i="5"/>
  <c r="P7" i="5"/>
  <c r="P27" i="5"/>
  <c r="P12" i="5"/>
  <c r="P24" i="5"/>
  <c r="L27" i="5"/>
  <c r="L18" i="5"/>
  <c r="L9" i="5"/>
  <c r="L4" i="5"/>
  <c r="L19" i="5"/>
  <c r="L10" i="5"/>
  <c r="L28" i="5"/>
  <c r="L5" i="5"/>
  <c r="L15" i="5"/>
  <c r="L6" i="5"/>
  <c r="L24" i="5"/>
  <c r="L11" i="5"/>
  <c r="L25" i="5"/>
  <c r="O7" i="4"/>
  <c r="G24" i="2" l="1"/>
  <c r="G23" i="2"/>
  <c r="E5" i="3"/>
  <c r="L5" i="3"/>
  <c r="M5" i="3"/>
  <c r="N5" i="3"/>
  <c r="E6" i="3"/>
  <c r="L6" i="3"/>
  <c r="M6" i="3"/>
  <c r="N6" i="3"/>
  <c r="E7" i="3"/>
  <c r="L7" i="3"/>
  <c r="M7" i="3"/>
  <c r="N7" i="3"/>
  <c r="E8" i="3"/>
  <c r="L8" i="3"/>
  <c r="M8" i="3"/>
  <c r="N8" i="3"/>
  <c r="E9" i="3"/>
  <c r="L9" i="3"/>
  <c r="M9" i="3"/>
  <c r="N9" i="3"/>
  <c r="C19" i="2" l="1"/>
  <c r="C18" i="2"/>
  <c r="C15" i="2"/>
  <c r="C14" i="2"/>
  <c r="B10" i="2"/>
  <c r="C10" i="2"/>
  <c r="C12" i="2"/>
  <c r="F4" i="2"/>
  <c r="F5" i="2"/>
  <c r="F6" i="2"/>
  <c r="F7" i="2"/>
  <c r="F8" i="2"/>
  <c r="F9" i="2"/>
  <c r="F3" i="2"/>
  <c r="F10" i="2" s="1"/>
  <c r="E3" i="2"/>
  <c r="E4" i="2"/>
  <c r="E5" i="2"/>
  <c r="E10" i="2" s="1"/>
  <c r="E6" i="2"/>
  <c r="E7" i="2"/>
  <c r="E8" i="2"/>
  <c r="E9" i="2"/>
  <c r="D4" i="2"/>
  <c r="D5" i="2"/>
  <c r="D6" i="2"/>
  <c r="D7" i="2"/>
  <c r="D8" i="2"/>
  <c r="D9" i="2"/>
  <c r="D3" i="2"/>
  <c r="D10" i="2" s="1"/>
  <c r="C17" i="2" l="1"/>
  <c r="C16" i="2"/>
  <c r="C13" i="2"/>
  <c r="C20" i="2" s="1"/>
  <c r="F24" i="2"/>
  <c r="F23" i="2"/>
  <c r="G14" i="2"/>
  <c r="G15" i="2"/>
  <c r="G16" i="2"/>
  <c r="G18" i="2"/>
  <c r="G19" i="2"/>
  <c r="G13" i="2"/>
  <c r="G17" i="2"/>
  <c r="I15" i="2" l="1"/>
  <c r="H15" i="2"/>
  <c r="I16" i="2"/>
  <c r="H16" i="2"/>
  <c r="I14" i="2"/>
  <c r="H14" i="2"/>
  <c r="I17" i="2"/>
  <c r="H17" i="2"/>
  <c r="I13" i="2"/>
  <c r="H13" i="2"/>
  <c r="I19" i="2"/>
  <c r="H19" i="2"/>
  <c r="I18" i="2"/>
  <c r="H18" i="2"/>
  <c r="H20" i="2" l="1"/>
  <c r="I2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<sst xmlns="http://schemas.openxmlformats.org/spreadsheetml/2006/main" count="923" uniqueCount="346">
  <si>
    <t>Name</t>
  </si>
  <si>
    <t>Sl. No.</t>
  </si>
  <si>
    <t>Present</t>
  </si>
  <si>
    <t>Day-1 (22-Apr)</t>
  </si>
  <si>
    <t>Day-2 (01-May)</t>
  </si>
  <si>
    <t>Day-3 (09-May)</t>
  </si>
  <si>
    <t>Day-4 (20-May)</t>
  </si>
  <si>
    <t>Day-5 (27-May)</t>
  </si>
  <si>
    <t>Student</t>
  </si>
  <si>
    <t>x</t>
  </si>
  <si>
    <t>y</t>
  </si>
  <si>
    <t>x*y</t>
  </si>
  <si>
    <t>x^2</t>
  </si>
  <si>
    <t>y^2</t>
  </si>
  <si>
    <t>A</t>
  </si>
  <si>
    <t>B</t>
  </si>
  <si>
    <t>C</t>
  </si>
  <si>
    <t>D</t>
  </si>
  <si>
    <t>E</t>
  </si>
  <si>
    <t>F</t>
  </si>
  <si>
    <t>G</t>
  </si>
  <si>
    <t>n =</t>
  </si>
  <si>
    <t>r =</t>
  </si>
  <si>
    <t>Ananth Ashish</t>
  </si>
  <si>
    <t>Santhosh Banda</t>
  </si>
  <si>
    <t>Alhad Deshmukh</t>
  </si>
  <si>
    <t>Rajesh Gudipati</t>
  </si>
  <si>
    <t>Renuka Gurumurthy</t>
  </si>
  <si>
    <t>Sneha Jayal</t>
  </si>
  <si>
    <t>Sudheshna Karukula</t>
  </si>
  <si>
    <t>Nilesh Raj Nakka</t>
  </si>
  <si>
    <t>Sai Madhav Ambati</t>
  </si>
  <si>
    <t xml:space="preserve">Debanjan Sinha </t>
  </si>
  <si>
    <t>Soumya Reddy Aleti</t>
  </si>
  <si>
    <t>Aashish Srivastava</t>
  </si>
  <si>
    <t>Neha Upadhyay</t>
  </si>
  <si>
    <t xml:space="preserve">Surya Chaitanya </t>
  </si>
  <si>
    <t>Sapna Naresh</t>
  </si>
  <si>
    <t>a =</t>
  </si>
  <si>
    <t>Intercept</t>
  </si>
  <si>
    <t>Slope</t>
  </si>
  <si>
    <t>b =</t>
  </si>
  <si>
    <t>y'</t>
  </si>
  <si>
    <t>Veeru</t>
  </si>
  <si>
    <t>Jai</t>
  </si>
  <si>
    <t>Anthony</t>
  </si>
  <si>
    <t>Akbar</t>
  </si>
  <si>
    <t>Amar</t>
  </si>
  <si>
    <t>Total Sal</t>
  </si>
  <si>
    <t>Benefits</t>
  </si>
  <si>
    <t>Conveyance</t>
  </si>
  <si>
    <t>Hrs Worked</t>
  </si>
  <si>
    <t>Employee</t>
  </si>
  <si>
    <t>Wages per hour</t>
  </si>
  <si>
    <t>Error</t>
  </si>
  <si>
    <t xml:space="preserve">r^2 = </t>
  </si>
  <si>
    <t>x1</t>
  </si>
  <si>
    <t>x2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</si>
  <si>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</si>
  <si>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</si>
  <si>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</si>
  <si>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</si>
  <si>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</si>
  <si>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</si>
  <si>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</si>
  <si>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</si>
  <si>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</si>
  <si>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</si>
  <si>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</si>
  <si>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</si>
  <si>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</si>
  <si>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</si>
  <si>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</si>
  <si>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</si>
  <si>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</si>
  <si>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</si>
  <si>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</si>
  <si>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</si>
  <si>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</si>
  <si>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</si>
  <si>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Y'</t>
  </si>
  <si>
    <t>Error^2</t>
  </si>
  <si>
    <t>GPA</t>
  </si>
  <si>
    <t>Age</t>
  </si>
  <si>
    <t>X</t>
  </si>
  <si>
    <t>Y</t>
  </si>
  <si>
    <t>Strength</t>
  </si>
  <si>
    <t>Temperature</t>
  </si>
  <si>
    <t>Pressure</t>
  </si>
  <si>
    <t>Chemical Agent</t>
  </si>
  <si>
    <r>
      <t>S = 106.47 - 0.0658</t>
    </r>
    <r>
      <rPr>
        <i/>
        <sz val="13.5"/>
        <color rgb="FF000000"/>
        <rFont val="Times New Roman"/>
        <family val="1"/>
      </rPr>
      <t>T</t>
    </r>
    <r>
      <rPr>
        <sz val="13.5"/>
        <color rgb="FF000000"/>
        <rFont val="Times New Roman"/>
        <family val="1"/>
      </rPr>
      <t> + 9.3</t>
    </r>
    <r>
      <rPr>
        <i/>
        <sz val="13.5"/>
        <color rgb="FF000000"/>
        <rFont val="Times New Roman"/>
        <family val="1"/>
      </rPr>
      <t>P</t>
    </r>
    <r>
      <rPr>
        <sz val="13.5"/>
        <color rgb="FF000000"/>
        <rFont val="Times New Roman"/>
        <family val="1"/>
      </rPr>
      <t> - 7.4</t>
    </r>
    <r>
      <rPr>
        <i/>
        <sz val="13.5"/>
        <color rgb="FF000000"/>
        <rFont val="Times New Roman"/>
        <family val="1"/>
      </rPr>
      <t>C</t>
    </r>
    <r>
      <rPr>
        <sz val="13.5"/>
        <color rgb="FF000000"/>
        <rFont val="Times New Roman"/>
        <family val="1"/>
      </rPr>
      <t> + </t>
    </r>
    <r>
      <rPr>
        <i/>
        <sz val="13.5"/>
        <color rgb="FF000000"/>
        <rFont val="Times New Roman"/>
        <family val="1"/>
      </rPr>
      <t>e</t>
    </r>
  </si>
  <si>
    <t xml:space="preserve">Obs 1 </t>
  </si>
  <si>
    <t xml:space="preserve">Obs 2 </t>
  </si>
  <si>
    <t xml:space="preserve">Obs 3 </t>
  </si>
  <si>
    <t xml:space="preserve">Obs 4 </t>
  </si>
  <si>
    <t xml:space="preserve">Sample No. </t>
  </si>
  <si>
    <t xml:space="preserve">Average (x-bar) </t>
  </si>
  <si>
    <t>Range (R)</t>
  </si>
  <si>
    <t>R-bar</t>
  </si>
  <si>
    <t>x-bar-bar (the average of the sample means)</t>
  </si>
  <si>
    <t>z (standard normal variable (2 for 95.44% confidence, 3 for 99.74% confidence))</t>
  </si>
  <si>
    <t>Sigma-x (standard deviation of the distribution of sample means)</t>
  </si>
  <si>
    <t>n  sample size (number of observations per sample)</t>
  </si>
  <si>
    <t>Sigma standard deviation of the bottling operation is 0.14 ounces</t>
  </si>
  <si>
    <t>Number of Samples</t>
  </si>
  <si>
    <t>CL</t>
  </si>
  <si>
    <t>Sample Size n</t>
  </si>
  <si>
    <t>A2</t>
  </si>
  <si>
    <t>D3</t>
  </si>
  <si>
    <t>D4</t>
  </si>
  <si>
    <t>Factor for x-bar Chart</t>
  </si>
  <si>
    <t>Factors for R Chart</t>
  </si>
  <si>
    <t>Upper control limit (UCL)-1</t>
  </si>
  <si>
    <t>Lower control limit (LCL)-1</t>
  </si>
  <si>
    <t>Upper control limit (UCL)-2</t>
  </si>
  <si>
    <t>Lower control limit (LCL)-2</t>
  </si>
  <si>
    <t>UCL-1</t>
  </si>
  <si>
    <t>LCL-1</t>
  </si>
  <si>
    <t>UCL-2</t>
  </si>
  <si>
    <t>LCL-2</t>
  </si>
  <si>
    <t>Absent</t>
  </si>
  <si>
    <t>Upper control limit (UCL)-R</t>
  </si>
  <si>
    <t>Lower control limit (LCL)-R</t>
  </si>
  <si>
    <t>UCL-R</t>
  </si>
  <si>
    <t>LCL-R</t>
  </si>
  <si>
    <t>R-Bar</t>
  </si>
  <si>
    <t>Sample #</t>
  </si>
  <si>
    <t># Defective Tires</t>
  </si>
  <si>
    <t>Total number of Samples</t>
  </si>
  <si>
    <t>n = Total number of Observations per Sample</t>
  </si>
  <si>
    <t>z  standard normal variable</t>
  </si>
  <si>
    <t>p-bar = the sample proportion defective</t>
  </si>
  <si>
    <t>Sigma-p = the standard deviation of the average proportion defective</t>
  </si>
  <si>
    <t>UCL-P</t>
  </si>
  <si>
    <t>LCL-P</t>
  </si>
  <si>
    <t>Fraction Defective (p)</t>
  </si>
  <si>
    <t>CL = p-bar</t>
  </si>
  <si>
    <t>P stands for Proportion</t>
  </si>
  <si>
    <t>Week #</t>
  </si>
  <si>
    <t># weeks</t>
  </si>
  <si>
    <t>c-bar</t>
  </si>
  <si>
    <t># Complaints (c)</t>
  </si>
  <si>
    <t>UCL-c-Bar</t>
  </si>
  <si>
    <t>CL-c-bar</t>
  </si>
  <si>
    <t>Reliability Problem Solve:</t>
  </si>
  <si>
    <t>Machine A</t>
  </si>
  <si>
    <t>Machine B</t>
  </si>
  <si>
    <t>Machine C</t>
  </si>
  <si>
    <t>Machine D</t>
  </si>
  <si>
    <t>Anova: Single Factor</t>
  </si>
  <si>
    <t>SUMMARY</t>
  </si>
  <si>
    <t>Groups</t>
  </si>
  <si>
    <t>Count</t>
  </si>
  <si>
    <t>Sum</t>
  </si>
  <si>
    <t>Average</t>
  </si>
  <si>
    <t>Variance</t>
  </si>
  <si>
    <t>Source of Variation</t>
  </si>
  <si>
    <t>F crit</t>
  </si>
  <si>
    <t>Between Groups</t>
  </si>
  <si>
    <t>Within Groups</t>
  </si>
  <si>
    <t>Source of</t>
  </si>
  <si>
    <t>Variation</t>
  </si>
  <si>
    <t>Sum of</t>
  </si>
  <si>
    <t>Squares</t>
  </si>
  <si>
    <t>Degrees of</t>
  </si>
  <si>
    <t>Freedom</t>
  </si>
  <si>
    <t>Mean</t>
  </si>
  <si>
    <t>Square</t>
  </si>
  <si>
    <t>F-Statistic</t>
  </si>
  <si>
    <t>Between</t>
  </si>
  <si>
    <t>Treatments</t>
  </si>
  <si>
    <t>SST</t>
  </si>
  <si>
    <t>k-1</t>
  </si>
  <si>
    <t>MST = SST/(k-1)</t>
  </si>
  <si>
    <t>F = MST/MSE</t>
  </si>
  <si>
    <t>SSE</t>
  </si>
  <si>
    <t>N-k</t>
  </si>
  <si>
    <t>MSE = SSE/(N-k)</t>
  </si>
  <si>
    <t>TSS</t>
  </si>
  <si>
    <t>N-1</t>
  </si>
  <si>
    <t>N =</t>
  </si>
  <si>
    <t>Sum All =</t>
  </si>
  <si>
    <t>k =</t>
  </si>
  <si>
    <t>One-Way ANOVA</t>
  </si>
  <si>
    <t>k</t>
  </si>
  <si>
    <t>N</t>
  </si>
  <si>
    <t>The null hypothesis being tested in a one-way ANOVA is:</t>
  </si>
  <si>
    <r>
      <t>H</t>
    </r>
    <r>
      <rPr>
        <vertAlign val="subscript"/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: All treatment means are equal.</t>
    </r>
  </si>
  <si>
    <t>The alternate hypothesis is:</t>
  </si>
  <si>
    <r>
      <t>H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: At least one of the treatment means is different.</t>
    </r>
  </si>
  <si>
    <t>SST = sum of squares between treatments</t>
  </si>
  <si>
    <t>http://www.socr.ucla.edu/Applets.dir/F_Table.html</t>
  </si>
  <si>
    <r>
      <t>(F Table for α = 0.05, df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 xml:space="preserve"> = 3 and df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= 26)</t>
    </r>
  </si>
  <si>
    <t>Sum of Squares</t>
  </si>
  <si>
    <t>Degrees of Freedom</t>
  </si>
  <si>
    <t>Mean Square</t>
  </si>
  <si>
    <r>
      <t>Y</t>
    </r>
    <r>
      <rPr>
        <sz val="10"/>
        <color rgb="FF000000"/>
        <rFont val="Arial"/>
        <family val="2"/>
      </rPr>
      <t>.</t>
    </r>
    <r>
      <rPr>
        <vertAlign val="subscript"/>
        <sz val="10"/>
        <color rgb="FF000000"/>
        <rFont val="Arial"/>
        <family val="2"/>
      </rPr>
      <t>j</t>
    </r>
    <r>
      <rPr>
        <sz val="10"/>
        <color rgb="FF000000"/>
        <rFont val="Arial"/>
        <family val="2"/>
      </rPr>
      <t> = the sum of observations for treatment </t>
    </r>
    <r>
      <rPr>
        <i/>
        <sz val="10"/>
        <color rgb="FF000000"/>
        <rFont val="Arial"/>
        <family val="2"/>
      </rPr>
      <t>j</t>
    </r>
    <r>
      <rPr>
        <sz val="10"/>
        <color rgb="FF000000"/>
        <rFont val="Arial"/>
        <family val="2"/>
      </rPr>
      <t>.</t>
    </r>
  </si>
  <si>
    <t>Between Treatments</t>
  </si>
  <si>
    <r>
      <t>Y</t>
    </r>
    <r>
      <rPr>
        <sz val="10"/>
        <color rgb="FF000000"/>
        <rFont val="Arial"/>
        <family val="2"/>
      </rPr>
      <t>.. = the sum of all observations.</t>
    </r>
  </si>
  <si>
    <t>SSE = sum of squares due to error.</t>
  </si>
  <si>
    <t>SSE = TSS - SST</t>
  </si>
  <si>
    <t>TSS = total sum of squares.</t>
  </si>
  <si>
    <t>The sum of all 30 observations is 1,540.1. The sum of the square of the 30 observations is 79,281.35. The total sum of squares is:</t>
  </si>
  <si>
    <t>The sum of the 8 observations for Machine A is 398.0. The sum of the 7 observations for Machine B is 368.5. The sum of the 7 observations for Machine C is 364.0.</t>
  </si>
  <si>
    <t>The sum of the 8 observations for Machine D is 409.6. The sum of squares between treatments is:</t>
  </si>
  <si>
    <t>The sum of squares for the error term is the difference between the total sum of squares and the sum of squares between treatments.</t>
  </si>
  <si>
    <t>MST = mean square for treatments.</t>
  </si>
  <si>
    <t>SSE = 217.75 - 35.31 = 182.44</t>
  </si>
  <si>
    <t>MSE = mean square for error.</t>
  </si>
  <si>
    <r>
      <t>k</t>
    </r>
    <r>
      <rPr>
        <sz val="10"/>
        <color rgb="FF000000"/>
        <rFont val="Arial"/>
        <family val="2"/>
      </rPr>
      <t> = number of treatment levels.</t>
    </r>
  </si>
  <si>
    <r>
      <t>n</t>
    </r>
    <r>
      <rPr>
        <sz val="10"/>
        <color rgb="FF000000"/>
        <rFont val="Arial"/>
        <family val="2"/>
      </rPr>
      <t> = number of runs at a particular level</t>
    </r>
  </si>
  <si>
    <r>
      <t>N</t>
    </r>
    <r>
      <rPr>
        <sz val="10"/>
        <color rgb="FF000000"/>
        <rFont val="Arial"/>
        <family val="2"/>
      </rPr>
      <t> = total number of runs</t>
    </r>
  </si>
  <si>
    <r>
      <t>F</t>
    </r>
    <r>
      <rPr>
        <sz val="10"/>
        <color rgb="FF000000"/>
        <rFont val="Arial"/>
        <family val="2"/>
      </rPr>
      <t> = the calculated </t>
    </r>
    <r>
      <rPr>
        <i/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 statistic with </t>
    </r>
    <r>
      <rPr>
        <i/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-1 and </t>
    </r>
    <r>
      <rPr>
        <i/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-</t>
    </r>
    <r>
      <rPr>
        <i/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 degrees of freedom.</t>
    </r>
  </si>
  <si>
    <t>Sum of the Square of the Original Values =</t>
  </si>
  <si>
    <t>(Original Values)</t>
  </si>
  <si>
    <t>(Square of the Original Values)</t>
  </si>
  <si>
    <r>
      <t>If the calculated </t>
    </r>
    <r>
      <rPr>
        <i/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 is greater than the critical </t>
    </r>
    <r>
      <rPr>
        <i/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 value then reject the null hypothesis (i.e., all the means are not statistically the same at the value chosen.)</t>
    </r>
  </si>
  <si>
    <t>Two-Way ANOVA</t>
  </si>
  <si>
    <t>Group 1</t>
  </si>
  <si>
    <t>Group 2</t>
  </si>
  <si>
    <t>Group 3</t>
  </si>
  <si>
    <t>Anova: Two-Factor With Replication</t>
  </si>
  <si>
    <t>For each combination of levels for the predictor variables, there is only one observation.</t>
  </si>
  <si>
    <t>Group A</t>
  </si>
  <si>
    <t>Group B</t>
  </si>
  <si>
    <t>Group C</t>
  </si>
  <si>
    <t>For each combination of levels for the predictor variables, there are multiple observations.</t>
  </si>
  <si>
    <t>Using this approach, the botanist would only measure the growth of one plant for each combination of levels for sunlight and watering frequency.</t>
  </si>
  <si>
    <t>Sample</t>
  </si>
  <si>
    <t>Columns</t>
  </si>
  <si>
    <t>Interaction</t>
  </si>
  <si>
    <t>Within</t>
  </si>
  <si>
    <t>Multi-Factor ANOVA</t>
  </si>
  <si>
    <t>Since there are only 8 trials, there is 1 degree of freedom for estimating the overall mean, 6 degrees of freedom for estimating the effect of the 6 factors, and 1 degree of freedom for experimental error. There are no degrees of freedom available for estimating the effect of any interactions. The brightness sum for all 8 trials is 33.6. The total sum-of-squares is:</t>
  </si>
  <si>
    <t>Trial</t>
  </si>
  <si>
    <t>Speed</t>
  </si>
  <si>
    <t>Angle</t>
  </si>
  <si>
    <t>Water</t>
  </si>
  <si>
    <t>Kerosene</t>
  </si>
  <si>
    <t>Brightness</t>
  </si>
  <si>
    <t>Brightness^2</t>
  </si>
  <si>
    <t>TSS =</t>
  </si>
  <si>
    <t>Distinct Values</t>
  </si>
  <si>
    <t>AVG(Brightness)</t>
  </si>
  <si>
    <t>CNT(Brightness)</t>
  </si>
  <si>
    <t>Ctrl-G + Select-Number + Copy-Paste</t>
  </si>
  <si>
    <t>F Statistic</t>
  </si>
  <si>
    <r>
      <t>(F Table for α = 0.05, df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 xml:space="preserve"> = 1 and df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= 1)</t>
    </r>
  </si>
  <si>
    <t>The sum-of-squares error is the difference between the total sum-of-squares and the sum-of-squares for the factors and is 1.125. The degrees-of-freedom for the sum-of-squares for each factor is equal to the number of levels for that factor minus 1. The degrees-of-freedom for the total is equal to the number of experimental trials minus 1. The mean square for each factor is equal to the sum-of-squares divided by the degrees-of-freedom. The F-statistic for each factor is equal to the mean square for that factor divided by the mean square error. The critical value of the F-statistic for each of the factors at 5% significance using 1 and 1 degrees of freedom is 161.4. Since none of the computed values from the F-distribution exceed the critical value, none of the factors are considered significant.</t>
  </si>
  <si>
    <t>Required Sample Size for Bogey Testing</t>
  </si>
  <si>
    <t xml:space="preserve">Reliability = </t>
  </si>
  <si>
    <t xml:space="preserve">Confidence Level = </t>
  </si>
  <si>
    <t xml:space="preserve">Sample size = </t>
  </si>
  <si>
    <t>***</t>
  </si>
  <si>
    <t>Value</t>
  </si>
  <si>
    <t>Formula</t>
  </si>
  <si>
    <t>=0.9^3</t>
  </si>
  <si>
    <t>=EXP(-0.008*100)</t>
  </si>
  <si>
    <t>=1-(1-EXP(-25/40))*(1-EXP(-25/80))*(1-EXP(-25/85))</t>
  </si>
  <si>
    <t>=EXP(-0.000388*300)</t>
  </si>
  <si>
    <t>=FACT(4)/(FACT(2)*FACT(4-2))*(0.89^2)*(1-0.89)^(4-2)+FACT(4)/(FACT(3)*FACT(4-3))*(0.89^3)*(1-0.89)^(4-3)+FACT(4)/(FACT(4)*FACT(4-4))*(0.89^4)*(1-0.89)^(4-4)</t>
  </si>
  <si>
    <t>=LN(1-0.9)/LN(0.99)</t>
  </si>
  <si>
    <t>Reference Value</t>
  </si>
  <si>
    <t>Average Reading</t>
  </si>
  <si>
    <t>Average Bias</t>
  </si>
  <si>
    <t>Delta-x</t>
  </si>
  <si>
    <t>Delta-y</t>
  </si>
  <si>
    <t>Ratio (Slope)</t>
  </si>
  <si>
    <t>Gage Bias</t>
  </si>
  <si>
    <r>
      <t xml:space="preserve">Given a process standard deviation of </t>
    </r>
    <r>
      <rPr>
        <sz val="10"/>
        <rFont val="Calibri"/>
        <family val="2"/>
      </rPr>
      <t>σ</t>
    </r>
    <r>
      <rPr>
        <sz val="10"/>
        <rFont val="Arial"/>
        <family val="2"/>
      </rPr>
      <t>, bias as a percent of process variation (6</t>
    </r>
    <r>
      <rPr>
        <sz val="10"/>
        <rFont val="Calibri"/>
        <family val="2"/>
      </rPr>
      <t>σ</t>
    </r>
    <r>
      <rPr>
        <sz val="10"/>
        <rFont val="Arial"/>
        <family val="2"/>
      </rPr>
      <t>) is:</t>
    </r>
  </si>
  <si>
    <t xml:space="preserve">Reference Value = </t>
  </si>
  <si>
    <t>Data</t>
  </si>
  <si>
    <t xml:space="preserve">Average = </t>
  </si>
  <si>
    <t xml:space="preserve">Sample Standard Deviation = </t>
  </si>
  <si>
    <t xml:space="preserve">Significance = </t>
  </si>
  <si>
    <t xml:space="preserve">t Critical = </t>
  </si>
  <si>
    <t xml:space="preserve">t Computed = </t>
  </si>
  <si>
    <t xml:space="preserve">Bias = </t>
  </si>
  <si>
    <t>Given a tolerance (Upper specification - Lower specification) of T, bias as a percent of process tolerance is:</t>
  </si>
  <si>
    <t>https://www.sjsu.edu/faculty/gerstman/StatPrimer/t-table.pdf</t>
  </si>
  <si>
    <t>Search for row = 29 and column = 0.10</t>
  </si>
  <si>
    <r>
      <t>Using a significance level of </t>
    </r>
    <r>
      <rPr>
        <sz val="10"/>
        <color rgb="FF000000"/>
        <rFont val="Arial"/>
        <family val="2"/>
      </rPr>
      <t>a = 0.1, with 29 degrees of freedom (30 -1), the critical values with the Excel function</t>
    </r>
  </si>
  <si>
    <t xml:space="preserve">of the t-distribution are 1.699 and -1.699.  These values can be found </t>
  </si>
  <si>
    <t xml:space="preserve">Since the computed t-statistic does not fall between the critical values, the bias is significant, and the </t>
  </si>
  <si>
    <t>possible, the scale should be adjusted to yield a bias of zero.</t>
  </si>
  <si>
    <t>The significance of the bias is determined using a t-test. The test hypotheses are:</t>
  </si>
  <si>
    <r>
      <t>Ho: </t>
    </r>
    <r>
      <rPr>
        <sz val="13.5"/>
        <color rgb="FF000000"/>
        <rFont val="Symbol"/>
        <family val="1"/>
        <charset val="2"/>
      </rPr>
      <t>m</t>
    </r>
    <r>
      <rPr>
        <sz val="13.5"/>
        <color rgb="FF000000"/>
        <rFont val="Times New Roman"/>
        <family val="1"/>
      </rPr>
      <t> = </t>
    </r>
    <r>
      <rPr>
        <sz val="13.5"/>
        <color rgb="FF000000"/>
        <rFont val="Symbol"/>
        <family val="1"/>
        <charset val="2"/>
      </rPr>
      <t>t</t>
    </r>
  </si>
  <si>
    <r>
      <t>H1: </t>
    </r>
    <r>
      <rPr>
        <sz val="13.5"/>
        <color rgb="FF000000"/>
        <rFont val="Symbol"/>
        <family val="1"/>
        <charset val="2"/>
      </rPr>
      <t xml:space="preserve">m </t>
    </r>
    <r>
      <rPr>
        <sz val="13.5"/>
        <color rgb="FF000000"/>
        <rFont val="Times New Roman"/>
        <family val="1"/>
      </rPr>
      <t>does not equal </t>
    </r>
    <r>
      <rPr>
        <sz val="13.5"/>
        <color rgb="FF000000"/>
        <rFont val="Symbol"/>
        <family val="1"/>
        <charset val="2"/>
      </rPr>
      <t>t</t>
    </r>
  </si>
  <si>
    <t>The test statistic is:</t>
  </si>
  <si>
    <t>Part</t>
  </si>
  <si>
    <t>Operator</t>
  </si>
  <si>
    <t>Appraiser</t>
  </si>
  <si>
    <t>SSA</t>
  </si>
  <si>
    <t>a-1</t>
  </si>
  <si>
    <t>MSA = SSA/(a-1)</t>
  </si>
  <si>
    <t>F = MSA/MSE</t>
  </si>
  <si>
    <t>Trial 1</t>
  </si>
  <si>
    <t>Trial 2</t>
  </si>
  <si>
    <t>Parts</t>
  </si>
  <si>
    <t>SSB</t>
  </si>
  <si>
    <t>b-1</t>
  </si>
  <si>
    <t>MSB = SSB/(b-1)</t>
  </si>
  <si>
    <t>F = MSB/MSE</t>
  </si>
  <si>
    <t>Interaction (Appraiser, Parts)</t>
  </si>
  <si>
    <t>SSAB</t>
  </si>
  <si>
    <t>(a-1)(b-1)</t>
  </si>
  <si>
    <t>MSAB = SSAB/((a-1)(b-1))</t>
  </si>
  <si>
    <t>F = MSAB/MSE</t>
  </si>
  <si>
    <t>Sum Squared</t>
  </si>
  <si>
    <t>Sum Squared/(b*n)</t>
  </si>
  <si>
    <t>Gage (Error)</t>
  </si>
  <si>
    <t>ab(n-1)</t>
  </si>
  <si>
    <t>MSE = SSE/(ab(n-1))</t>
  </si>
  <si>
    <r>
      <t>a</t>
    </r>
    <r>
      <rPr>
        <sz val="13.5"/>
        <color rgb="FF000000"/>
        <rFont val="Times New Roman"/>
        <family val="1"/>
      </rPr>
      <t> = number of appraisers,</t>
    </r>
    <r>
      <rPr>
        <i/>
        <sz val="13.5"/>
        <color rgb="FF000000"/>
        <rFont val="Times New Roman"/>
        <family val="1"/>
      </rPr>
      <t xml:space="preserve"> (here a = 3)</t>
    </r>
  </si>
  <si>
    <r>
      <t>b</t>
    </r>
    <r>
      <rPr>
        <sz val="13.5"/>
        <color rgb="FF000000"/>
        <rFont val="Times New Roman"/>
        <family val="1"/>
      </rPr>
      <t> = number parts,</t>
    </r>
    <r>
      <rPr>
        <i/>
        <sz val="13.5"/>
        <color rgb="FF000000"/>
        <rFont val="Times New Roman"/>
        <family val="1"/>
      </rPr>
      <t xml:space="preserve"> (here b = 10)</t>
    </r>
  </si>
  <si>
    <r>
      <t>n</t>
    </r>
    <r>
      <rPr>
        <sz val="13.5"/>
        <color rgb="FF000000"/>
        <rFont val="Times New Roman"/>
        <family val="1"/>
      </rPr>
      <t> = the number of trials (here n = 2)</t>
    </r>
  </si>
  <si>
    <r>
      <t>N</t>
    </r>
    <r>
      <rPr>
        <sz val="13.5"/>
        <color rgb="FF000000"/>
        <rFont val="Times New Roman"/>
        <family val="1"/>
      </rPr>
      <t> = total number of readings (</t>
    </r>
    <r>
      <rPr>
        <i/>
        <sz val="13.5"/>
        <color rgb="FF000000"/>
        <rFont val="Times New Roman"/>
        <family val="1"/>
      </rPr>
      <t>abn</t>
    </r>
    <r>
      <rPr>
        <sz val="13.5"/>
        <color rgb="FF000000"/>
        <rFont val="Times New Roman"/>
        <family val="1"/>
      </rPr>
      <t>)</t>
    </r>
    <r>
      <rPr>
        <i/>
        <sz val="13.5"/>
        <color rgb="FF000000"/>
        <rFont val="Times New Roman"/>
        <family val="1"/>
      </rPr>
      <t xml:space="preserve"> (here a * b * n = 3 * 10 * 2 = 60)</t>
    </r>
  </si>
  <si>
    <t>Significance</t>
  </si>
  <si>
    <t>Sum Squared/(a*n)</t>
  </si>
  <si>
    <t>Trial 1^2</t>
  </si>
  <si>
    <t>Trial 2^2</t>
  </si>
  <si>
    <t>Repeatability =</t>
  </si>
  <si>
    <t>Sum Squared/n</t>
  </si>
  <si>
    <t>Reproducibility =</t>
  </si>
  <si>
    <t>The interaction between the appraisers and the parts is:</t>
  </si>
  <si>
    <t>Interaction =</t>
  </si>
  <si>
    <t>The measurement system repeatability and reproducibility is:</t>
  </si>
  <si>
    <t>R &amp; R =</t>
  </si>
  <si>
    <t>The measurement system part variation is:</t>
  </si>
  <si>
    <t>Part Variation =</t>
  </si>
  <si>
    <t>The total measurement system variation is:</t>
  </si>
  <si>
    <t>Total variation =</t>
  </si>
  <si>
    <t>Linearity</t>
  </si>
  <si>
    <t>Reference (x)</t>
  </si>
  <si>
    <t>Bias (y)</t>
  </si>
  <si>
    <t>x * y</t>
  </si>
  <si>
    <t>Trial 3</t>
  </si>
  <si>
    <t>Trial 4</t>
  </si>
  <si>
    <t>Trial 5</t>
  </si>
  <si>
    <t>Total =</t>
  </si>
  <si>
    <r>
      <t>The bias at any point can be estimate from the slope and the </t>
    </r>
    <r>
      <rPr>
        <i/>
        <sz val="12"/>
        <color rgb="FF000000"/>
        <rFont val="Times New Roman"/>
        <family val="1"/>
      </rPr>
      <t>y</t>
    </r>
    <r>
      <rPr>
        <sz val="12"/>
        <color rgb="FF000000"/>
        <rFont val="Times New Roman"/>
        <family val="1"/>
      </rPr>
      <t>-intercept, </t>
    </r>
    <r>
      <rPr>
        <i/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o</t>
    </r>
    <r>
      <rPr>
        <sz val="12"/>
        <color rgb="FF000000"/>
        <rFont val="Times New Roman"/>
        <family val="1"/>
      </rPr>
      <t> of the best-fit line.</t>
    </r>
  </si>
  <si>
    <t xml:space="preserve">Slope (b) = </t>
  </si>
  <si>
    <r>
      <t>B</t>
    </r>
    <r>
      <rPr>
        <sz val="12"/>
        <color rgb="FF000000"/>
        <rFont val="Times New Roman"/>
        <family val="1"/>
      </rPr>
      <t> = </t>
    </r>
    <r>
      <rPr>
        <i/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o</t>
    </r>
    <r>
      <rPr>
        <sz val="12"/>
        <color rgb="FF000000"/>
        <rFont val="Times New Roman"/>
        <family val="1"/>
      </rPr>
      <t> + </t>
    </r>
    <r>
      <rPr>
        <i/>
        <sz val="12"/>
        <color rgb="FF000000"/>
        <rFont val="Times New Roman"/>
        <family val="1"/>
      </rPr>
      <t>bx</t>
    </r>
  </si>
  <si>
    <r>
      <t>y-intercept (y</t>
    </r>
    <r>
      <rPr>
        <vertAlign val="subscript"/>
        <sz val="12"/>
        <rFont val="Arial"/>
        <family val="2"/>
      </rPr>
      <t>o</t>
    </r>
    <r>
      <rPr>
        <sz val="12"/>
        <rFont val="Arial"/>
        <family val="2"/>
      </rPr>
      <t xml:space="preserve">)= </t>
    </r>
  </si>
  <si>
    <t>r^2 =</t>
  </si>
  <si>
    <t xml:space="preserve">%Linearity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</si>
</sst>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 * #,##0.00_ ;_ * \-#,##0.00_ ;_ * &quot;-&quot;??_ ;_ @_ "/>
    <numFmt numFmtId="164" formatCode="_ * #,##0_ ;_ * \-#,##0_ ;_ * &quot;-&quot;??_ ;_ @_ "/>
    <numFmt numFmtId="165" formatCode="_ * #,##0.000_ ;_ * \-#,##0.000_ ;_ * &quot;-&quot;??_ ;_ @_ "/>
    <numFmt numFmtId="166" formatCode="0.0000"/>
    <numFmt numFmtId="167" formatCode="0.000"/>
    <numFmt numFmtId="168" formatCode="0.00000"/>
    <numFmt numFmtId="169" formatCode="0.000000"/>
    <numFmt numFmtId="170" formatCode="0.0"/>
    <numFmt numFmtId="171" formatCode="0.0%"/>
    <numFmt numFmtId="172" formatCode="0.0000000"/>
    <numFmt numFmtId="173" formatCode="0.00000000"/>
    <numFmt numFmtId="174" formatCode="0.000%"/>
  </numFmts>
  <fonts count="4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7" tint="0.59999389629810485"/>
      <name val="Calibri"/>
      <family val="2"/>
      <scheme val="minor"/>
    </font>
    <font>
      <sz val="10"/>
      <name val="Arial"/>
      <family val="2"/>
    </font>
    <font>
      <sz val="11"/>
      <color theme="8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.5"/>
      <color rgb="FF000000"/>
      <name val="Times New Roman"/>
      <family val="1"/>
    </font>
    <font>
      <i/>
      <sz val="13.5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OfficinaSans-Book"/>
    </font>
    <font>
      <sz val="9"/>
      <color rgb="FF000000"/>
      <name val="Minion-Regular"/>
    </font>
    <font>
      <b/>
      <sz val="9"/>
      <color rgb="FF000000"/>
      <name val="Minion-Regula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b/>
      <sz val="22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i/>
      <sz val="10"/>
      <color theme="1"/>
      <name val="Arial"/>
      <family val="2"/>
    </font>
    <font>
      <vertAlign val="subscript"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vertAlign val="subscript"/>
      <sz val="10"/>
      <name val="Arial"/>
      <family val="2"/>
    </font>
    <font>
      <b/>
      <sz val="10"/>
      <color theme="1"/>
      <name val="Arial"/>
      <family val="2"/>
    </font>
    <font>
      <i/>
      <sz val="10"/>
      <color rgb="FF00000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i/>
      <sz val="10"/>
      <color theme="1"/>
      <name val="Calibri"/>
      <family val="2"/>
      <scheme val="minor"/>
    </font>
    <font>
      <sz val="12"/>
      <color indexed="8"/>
      <name val="Times New Roman"/>
      <family val="1"/>
    </font>
    <font>
      <sz val="12"/>
      <name val="Times New Roman"/>
      <family val="1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Calibri"/>
      <family val="2"/>
    </font>
    <font>
      <b/>
      <sz val="18"/>
      <name val="Arial"/>
      <family val="2"/>
    </font>
    <font>
      <sz val="10"/>
      <name val="Calibri"/>
      <family val="2"/>
    </font>
    <font>
      <sz val="10"/>
      <color indexed="8"/>
      <name val="Times New Roman"/>
      <family val="1"/>
    </font>
    <font>
      <sz val="13.5"/>
      <color rgb="FF000000"/>
      <name val="Symbol"/>
      <family val="1"/>
      <charset val="2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i/>
      <sz val="12"/>
      <color rgb="FF000000"/>
      <name val="Times New Roman"/>
      <family val="1"/>
    </font>
    <font>
      <vertAlign val="subscript"/>
      <sz val="12"/>
      <color rgb="FF000000"/>
      <name val="Times New Roman"/>
      <family val="1"/>
    </font>
    <font>
      <vertAlign val="subscript"/>
      <sz val="12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indexed="18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6" fillId="0" borderId="0"/>
    <xf numFmtId="0" fontId="1" fillId="0" borderId="0"/>
    <xf numFmtId="0" fontId="18" fillId="0" borderId="0" applyNumberFormat="0" applyFill="0" applyBorder="0" applyAlignment="0" applyProtection="0"/>
    <xf numFmtId="9" fontId="6" fillId="0" borderId="0" applyFont="0" applyFill="0" applyBorder="0" applyAlignment="0" applyProtection="0"/>
    <xf numFmtId="0" fontId="26" fillId="0" borderId="0" applyNumberFormat="0" applyFill="0" applyBorder="0" applyAlignment="0" applyProtection="0"/>
  </cellStyleXfs>
  <cellXfs count="27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165" fontId="0" fillId="0" borderId="0" xfId="0" applyNumberFormat="1"/>
    <xf numFmtId="167" fontId="0" fillId="0" borderId="0" xfId="0" applyNumberFormat="1"/>
    <xf numFmtId="0" fontId="6" fillId="0" borderId="0" xfId="4"/>
    <xf numFmtId="0" fontId="7" fillId="5" borderId="2" xfId="3" applyFont="1" applyFill="1" applyBorder="1" applyAlignment="1"/>
    <xf numFmtId="0" fontId="7" fillId="5" borderId="2" xfId="3" applyFont="1" applyFill="1" applyBorder="1" applyAlignment="1">
      <alignment horizontal="left" indent="2"/>
    </xf>
    <xf numFmtId="0" fontId="7" fillId="5" borderId="2" xfId="3" applyFont="1" applyFill="1" applyBorder="1" applyAlignment="1">
      <alignment horizontal="left"/>
    </xf>
    <xf numFmtId="0" fontId="3" fillId="2" borderId="2" xfId="2" applyBorder="1" applyAlignment="1">
      <alignment horizontal="center" vertical="center"/>
    </xf>
    <xf numFmtId="0" fontId="6" fillId="0" borderId="0" xfId="5" applyFont="1"/>
    <xf numFmtId="0" fontId="7" fillId="6" borderId="2" xfId="3" applyNumberFormat="1" applyFont="1" applyFill="1" applyBorder="1" applyAlignment="1">
      <alignment horizontal="center" vertical="center"/>
    </xf>
    <xf numFmtId="0" fontId="3" fillId="2" borderId="0" xfId="2" applyBorder="1" applyAlignment="1">
      <alignment vertical="center"/>
    </xf>
    <xf numFmtId="164" fontId="0" fillId="0" borderId="1" xfId="1" applyNumberFormat="1" applyFont="1" applyBorder="1"/>
    <xf numFmtId="0" fontId="0" fillId="0" borderId="5" xfId="0" applyBorder="1"/>
    <xf numFmtId="0" fontId="2" fillId="0" borderId="6" xfId="0" applyFont="1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64" fontId="0" fillId="0" borderId="15" xfId="1" applyNumberFormat="1" applyFont="1" applyBorder="1"/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22" xfId="0" applyBorder="1"/>
    <xf numFmtId="164" fontId="0" fillId="0" borderId="22" xfId="1" applyNumberFormat="1" applyFont="1" applyBorder="1"/>
    <xf numFmtId="0" fontId="2" fillId="0" borderId="26" xfId="0" applyFont="1" applyBorder="1" applyAlignment="1">
      <alignment horizontal="center"/>
    </xf>
    <xf numFmtId="166" fontId="0" fillId="0" borderId="27" xfId="0" applyNumberFormat="1" applyBorder="1"/>
    <xf numFmtId="166" fontId="0" fillId="0" borderId="28" xfId="0" applyNumberFormat="1" applyBorder="1"/>
    <xf numFmtId="166" fontId="0" fillId="0" borderId="29" xfId="0" applyNumberFormat="1" applyBorder="1"/>
    <xf numFmtId="0" fontId="2" fillId="0" borderId="4" xfId="0" applyFont="1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2" fillId="7" borderId="18" xfId="0" applyFont="1" applyFill="1" applyBorder="1"/>
    <xf numFmtId="0" fontId="2" fillId="7" borderId="19" xfId="0" applyFont="1" applyFill="1" applyBorder="1"/>
    <xf numFmtId="164" fontId="2" fillId="7" borderId="19" xfId="1" applyNumberFormat="1" applyFont="1" applyFill="1" applyBorder="1"/>
    <xf numFmtId="164" fontId="2" fillId="7" borderId="20" xfId="1" applyNumberFormat="1" applyFont="1" applyFill="1" applyBorder="1"/>
    <xf numFmtId="0" fontId="0" fillId="0" borderId="33" xfId="0" applyBorder="1"/>
    <xf numFmtId="0" fontId="0" fillId="0" borderId="34" xfId="0" applyBorder="1"/>
    <xf numFmtId="0" fontId="2" fillId="0" borderId="35" xfId="0" applyFont="1" applyBorder="1" applyAlignment="1">
      <alignment horizontal="center"/>
    </xf>
    <xf numFmtId="0" fontId="0" fillId="0" borderId="36" xfId="0" applyBorder="1"/>
    <xf numFmtId="0" fontId="8" fillId="0" borderId="37" xfId="0" applyFont="1" applyBorder="1" applyAlignment="1">
      <alignment horizontal="center"/>
    </xf>
    <xf numFmtId="0" fontId="8" fillId="0" borderId="37" xfId="0" applyFont="1" applyBorder="1" applyAlignment="1">
      <alignment horizontal="centerContinuous"/>
    </xf>
    <xf numFmtId="0" fontId="0" fillId="7" borderId="0" xfId="0" applyFill="1"/>
    <xf numFmtId="0" fontId="0" fillId="7" borderId="4" xfId="0" applyFill="1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2" fillId="0" borderId="38" xfId="0" applyFont="1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25" xfId="0" applyBorder="1"/>
    <xf numFmtId="0" fontId="0" fillId="8" borderId="0" xfId="0" applyFill="1"/>
    <xf numFmtId="0" fontId="0" fillId="8" borderId="36" xfId="0" applyFill="1" applyBorder="1"/>
    <xf numFmtId="0" fontId="2" fillId="9" borderId="4" xfId="0" applyFont="1" applyFill="1" applyBorder="1"/>
    <xf numFmtId="0" fontId="0" fillId="9" borderId="0" xfId="0" applyFill="1"/>
    <xf numFmtId="166" fontId="0" fillId="0" borderId="30" xfId="0" applyNumberFormat="1" applyBorder="1"/>
    <xf numFmtId="166" fontId="0" fillId="0" borderId="0" xfId="0" applyNumberForma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41" xfId="0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vertical="center"/>
    </xf>
    <xf numFmtId="2" fontId="0" fillId="0" borderId="0" xfId="0" applyNumberFormat="1"/>
    <xf numFmtId="0" fontId="2" fillId="0" borderId="0" xfId="0" applyFont="1"/>
    <xf numFmtId="0" fontId="12" fillId="0" borderId="0" xfId="0" applyFont="1" applyAlignment="1">
      <alignment vertical="center"/>
    </xf>
    <xf numFmtId="0" fontId="0" fillId="10" borderId="0" xfId="0" applyFill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3" fillId="0" borderId="1" xfId="0" applyFont="1" applyBorder="1"/>
    <xf numFmtId="2" fontId="0" fillId="0" borderId="1" xfId="0" applyNumberFormat="1" applyBorder="1"/>
    <xf numFmtId="1" fontId="0" fillId="0" borderId="1" xfId="0" applyNumberFormat="1" applyBorder="1"/>
    <xf numFmtId="0" fontId="11" fillId="10" borderId="1" xfId="0" applyFont="1" applyFill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0" fontId="14" fillId="0" borderId="0" xfId="0" applyFont="1"/>
    <xf numFmtId="0" fontId="15" fillId="0" borderId="1" xfId="0" applyFont="1" applyBorder="1" applyAlignment="1">
      <alignment horizontal="center"/>
    </xf>
    <xf numFmtId="0" fontId="14" fillId="0" borderId="1" xfId="0" applyFont="1" applyBorder="1"/>
    <xf numFmtId="0" fontId="0" fillId="0" borderId="0" xfId="0" applyAlignment="1">
      <alignment vertical="center"/>
    </xf>
    <xf numFmtId="0" fontId="16" fillId="0" borderId="41" xfId="0" applyFont="1" applyBorder="1" applyAlignment="1">
      <alignment horizontal="center" vertical="center" wrapText="1"/>
    </xf>
    <xf numFmtId="0" fontId="17" fillId="0" borderId="41" xfId="0" applyFont="1" applyBorder="1" applyAlignment="1">
      <alignment horizontal="center" vertical="center" wrapText="1"/>
    </xf>
    <xf numFmtId="0" fontId="0" fillId="0" borderId="41" xfId="0" applyBorder="1" applyAlignment="1">
      <alignment vertical="center" wrapText="1"/>
    </xf>
    <xf numFmtId="0" fontId="0" fillId="7" borderId="36" xfId="0" applyFill="1" applyBorder="1"/>
    <xf numFmtId="0" fontId="16" fillId="0" borderId="42" xfId="0" applyFont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17" fillId="0" borderId="42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168" fontId="0" fillId="7" borderId="0" xfId="0" applyNumberFormat="1" applyFill="1"/>
    <xf numFmtId="166" fontId="0" fillId="7" borderId="0" xfId="0" applyNumberFormat="1" applyFill="1"/>
    <xf numFmtId="166" fontId="0" fillId="7" borderId="36" xfId="0" applyNumberFormat="1" applyFill="1" applyBorder="1"/>
    <xf numFmtId="169" fontId="0" fillId="7" borderId="0" xfId="0" applyNumberFormat="1" applyFill="1"/>
    <xf numFmtId="0" fontId="19" fillId="7" borderId="0" xfId="0" applyFont="1" applyFill="1"/>
    <xf numFmtId="0" fontId="6" fillId="0" borderId="0" xfId="4" applyAlignment="1">
      <alignment horizontal="justify"/>
    </xf>
    <xf numFmtId="0" fontId="21" fillId="0" borderId="0" xfId="0" applyFont="1"/>
    <xf numFmtId="0" fontId="22" fillId="0" borderId="37" xfId="4" applyFont="1" applyBorder="1" applyAlignment="1">
      <alignment horizontal="center"/>
    </xf>
    <xf numFmtId="0" fontId="23" fillId="0" borderId="37" xfId="0" applyFont="1" applyBorder="1" applyAlignment="1">
      <alignment horizontal="center"/>
    </xf>
    <xf numFmtId="0" fontId="6" fillId="11" borderId="0" xfId="4" applyFill="1"/>
    <xf numFmtId="0" fontId="6" fillId="0" borderId="36" xfId="4" applyBorder="1"/>
    <xf numFmtId="0" fontId="6" fillId="11" borderId="36" xfId="4" applyFill="1" applyBorder="1"/>
    <xf numFmtId="0" fontId="21" fillId="0" borderId="36" xfId="0" applyFont="1" applyBorder="1"/>
    <xf numFmtId="0" fontId="6" fillId="0" borderId="0" xfId="4" applyAlignment="1">
      <alignment horizontal="right"/>
    </xf>
    <xf numFmtId="0" fontId="26" fillId="0" borderId="0" xfId="6" applyFont="1"/>
    <xf numFmtId="0" fontId="21" fillId="0" borderId="1" xfId="0" applyFont="1" applyBorder="1" applyAlignment="1">
      <alignment horizontal="center" vertical="center" wrapText="1"/>
    </xf>
    <xf numFmtId="0" fontId="25" fillId="0" borderId="0" xfId="0" applyFont="1" applyAlignment="1">
      <alignment vertical="center"/>
    </xf>
    <xf numFmtId="0" fontId="30" fillId="0" borderId="0" xfId="4" applyFont="1"/>
    <xf numFmtId="0" fontId="31" fillId="0" borderId="0" xfId="4" applyFont="1" applyAlignment="1">
      <alignment horizontal="justify"/>
    </xf>
    <xf numFmtId="0" fontId="32" fillId="0" borderId="0" xfId="4" applyFont="1"/>
    <xf numFmtId="0" fontId="33" fillId="0" borderId="46" xfId="0" applyFont="1" applyBorder="1" applyAlignment="1">
      <alignment horizontal="right"/>
    </xf>
    <xf numFmtId="0" fontId="6" fillId="0" borderId="0" xfId="4" applyAlignment="1">
      <alignment wrapText="1"/>
    </xf>
    <xf numFmtId="0" fontId="34" fillId="0" borderId="47" xfId="4" applyFont="1" applyBorder="1" applyAlignment="1">
      <alignment horizontal="center" vertical="top"/>
    </xf>
    <xf numFmtId="0" fontId="34" fillId="0" borderId="48" xfId="4" applyFont="1" applyBorder="1" applyAlignment="1">
      <alignment horizontal="center" vertical="top"/>
    </xf>
    <xf numFmtId="0" fontId="34" fillId="0" borderId="49" xfId="4" applyFont="1" applyBorder="1" applyAlignment="1">
      <alignment horizontal="center" vertical="top"/>
    </xf>
    <xf numFmtId="0" fontId="35" fillId="0" borderId="50" xfId="4" applyFont="1" applyBorder="1"/>
    <xf numFmtId="0" fontId="34" fillId="0" borderId="51" xfId="4" applyFont="1" applyBorder="1" applyAlignment="1">
      <alignment horizontal="center" vertical="top"/>
    </xf>
    <xf numFmtId="0" fontId="34" fillId="0" borderId="17" xfId="4" applyFont="1" applyBorder="1" applyAlignment="1">
      <alignment horizontal="center" vertical="top"/>
    </xf>
    <xf numFmtId="9" fontId="34" fillId="0" borderId="17" xfId="4" applyNumberFormat="1" applyFont="1" applyBorder="1" applyAlignment="1">
      <alignment horizontal="center" vertical="top"/>
    </xf>
    <xf numFmtId="0" fontId="34" fillId="0" borderId="52" xfId="4" applyFont="1" applyBorder="1" applyAlignment="1">
      <alignment horizontal="center" vertical="top"/>
    </xf>
    <xf numFmtId="0" fontId="6" fillId="0" borderId="31" xfId="4" applyBorder="1"/>
    <xf numFmtId="0" fontId="34" fillId="0" borderId="1" xfId="4" applyFont="1" applyBorder="1" applyAlignment="1">
      <alignment horizontal="center" vertical="top"/>
    </xf>
    <xf numFmtId="0" fontId="34" fillId="0" borderId="53" xfId="4" applyFont="1" applyBorder="1" applyAlignment="1">
      <alignment horizontal="center" vertical="top"/>
    </xf>
    <xf numFmtId="0" fontId="34" fillId="0" borderId="54" xfId="4" applyFont="1" applyBorder="1" applyAlignment="1">
      <alignment horizontal="center" vertical="top"/>
    </xf>
    <xf numFmtId="9" fontId="34" fillId="0" borderId="54" xfId="4" applyNumberFormat="1" applyFont="1" applyBorder="1" applyAlignment="1">
      <alignment horizontal="center" vertical="top"/>
    </xf>
    <xf numFmtId="0" fontId="34" fillId="0" borderId="55" xfId="4" applyFont="1" applyBorder="1" applyAlignment="1">
      <alignment horizontal="center" vertical="top"/>
    </xf>
    <xf numFmtId="0" fontId="6" fillId="0" borderId="32" xfId="4" applyBorder="1"/>
    <xf numFmtId="0" fontId="6" fillId="0" borderId="1" xfId="4" applyBorder="1"/>
    <xf numFmtId="0" fontId="6" fillId="0" borderId="0" xfId="4" applyAlignment="1">
      <alignment horizontal="center"/>
    </xf>
    <xf numFmtId="0" fontId="35" fillId="0" borderId="1" xfId="4" applyFont="1" applyBorder="1" applyAlignment="1">
      <alignment horizontal="center" vertical="top"/>
    </xf>
    <xf numFmtId="0" fontId="6" fillId="11" borderId="1" xfId="4" applyFill="1" applyBorder="1" applyAlignment="1">
      <alignment horizontal="center"/>
    </xf>
    <xf numFmtId="0" fontId="35" fillId="11" borderId="1" xfId="4" applyFont="1" applyFill="1" applyBorder="1" applyAlignment="1">
      <alignment horizontal="center" vertical="top"/>
    </xf>
    <xf numFmtId="2" fontId="35" fillId="11" borderId="1" xfId="4" applyNumberFormat="1" applyFont="1" applyFill="1" applyBorder="1" applyAlignment="1">
      <alignment horizontal="center" vertical="top"/>
    </xf>
    <xf numFmtId="9" fontId="6" fillId="0" borderId="1" xfId="4" applyNumberFormat="1" applyBorder="1"/>
    <xf numFmtId="0" fontId="35" fillId="0" borderId="0" xfId="4" applyFont="1" applyAlignment="1">
      <alignment horizontal="center" vertical="top"/>
    </xf>
    <xf numFmtId="0" fontId="6" fillId="10" borderId="0" xfId="4" applyFill="1"/>
    <xf numFmtId="0" fontId="36" fillId="0" borderId="0" xfId="4" applyFont="1"/>
    <xf numFmtId="0" fontId="37" fillId="0" borderId="0" xfId="4" applyFont="1" applyAlignment="1">
      <alignment horizontal="right"/>
    </xf>
    <xf numFmtId="0" fontId="37" fillId="12" borderId="0" xfId="4" applyFont="1" applyFill="1" applyAlignment="1">
      <alignment horizontal="left"/>
    </xf>
    <xf numFmtId="0" fontId="37" fillId="0" borderId="0" xfId="4" applyFont="1"/>
    <xf numFmtId="170" fontId="37" fillId="11" borderId="0" xfId="4" applyNumberFormat="1" applyFont="1" applyFill="1" applyAlignment="1">
      <alignment horizontal="left"/>
    </xf>
    <xf numFmtId="0" fontId="6" fillId="13" borderId="0" xfId="4" applyFill="1"/>
    <xf numFmtId="0" fontId="38" fillId="0" borderId="0" xfId="4" applyFont="1" applyAlignment="1">
      <alignment horizontal="center"/>
    </xf>
    <xf numFmtId="0" fontId="39" fillId="0" borderId="0" xfId="4" applyFont="1" applyAlignment="1">
      <alignment vertical="center"/>
    </xf>
    <xf numFmtId="0" fontId="6" fillId="0" borderId="0" xfId="4" quotePrefix="1"/>
    <xf numFmtId="0" fontId="17" fillId="0" borderId="58" xfId="0" applyFont="1" applyBorder="1" applyAlignment="1">
      <alignment horizontal="center" vertical="center" wrapText="1"/>
    </xf>
    <xf numFmtId="0" fontId="17" fillId="0" borderId="59" xfId="0" applyFont="1" applyBorder="1" applyAlignment="1">
      <alignment horizontal="center" vertical="center" wrapText="1"/>
    </xf>
    <xf numFmtId="0" fontId="17" fillId="0" borderId="60" xfId="0" applyFont="1" applyBorder="1" applyAlignment="1">
      <alignment horizontal="center" vertical="center" wrapText="1"/>
    </xf>
    <xf numFmtId="2" fontId="17" fillId="0" borderId="63" xfId="0" applyNumberFormat="1" applyFont="1" applyBorder="1" applyAlignment="1">
      <alignment horizontal="center" vertical="center" wrapText="1"/>
    </xf>
    <xf numFmtId="2" fontId="17" fillId="0" borderId="64" xfId="0" applyNumberFormat="1" applyFont="1" applyBorder="1" applyAlignment="1">
      <alignment horizontal="center" vertical="center" wrapText="1"/>
    </xf>
    <xf numFmtId="2" fontId="17" fillId="0" borderId="65" xfId="0" applyNumberFormat="1" applyFont="1" applyBorder="1" applyAlignment="1">
      <alignment horizontal="center" vertical="center" wrapText="1"/>
    </xf>
    <xf numFmtId="2" fontId="17" fillId="0" borderId="68" xfId="0" applyNumberFormat="1" applyFont="1" applyBorder="1" applyAlignment="1">
      <alignment horizontal="center" vertical="center" wrapText="1"/>
    </xf>
    <xf numFmtId="2" fontId="17" fillId="0" borderId="69" xfId="0" applyNumberFormat="1" applyFont="1" applyBorder="1" applyAlignment="1">
      <alignment horizontal="center" vertical="center" wrapText="1"/>
    </xf>
    <xf numFmtId="2" fontId="17" fillId="0" borderId="70" xfId="0" applyNumberFormat="1" applyFont="1" applyBorder="1" applyAlignment="1">
      <alignment horizontal="center" vertical="center" wrapText="1"/>
    </xf>
    <xf numFmtId="0" fontId="40" fillId="0" borderId="0" xfId="4" applyFont="1"/>
    <xf numFmtId="170" fontId="35" fillId="0" borderId="41" xfId="4" applyNumberFormat="1" applyFont="1" applyBorder="1" applyAlignment="1">
      <alignment vertical="center" wrapText="1"/>
    </xf>
    <xf numFmtId="0" fontId="6" fillId="14" borderId="0" xfId="4" applyFill="1" applyAlignment="1">
      <alignment horizontal="left"/>
    </xf>
    <xf numFmtId="0" fontId="30" fillId="0" borderId="0" xfId="4" applyFont="1" applyAlignment="1">
      <alignment horizontal="right"/>
    </xf>
    <xf numFmtId="0" fontId="6" fillId="0" borderId="0" xfId="4" quotePrefix="1" applyAlignment="1">
      <alignment horizontal="right"/>
    </xf>
    <xf numFmtId="0" fontId="6" fillId="11" borderId="0" xfId="4" applyFill="1" applyAlignment="1">
      <alignment horizontal="left"/>
    </xf>
    <xf numFmtId="170" fontId="42" fillId="0" borderId="0" xfId="4" applyNumberFormat="1" applyFont="1" applyAlignment="1">
      <alignment horizontal="right" vertical="top" wrapText="1"/>
    </xf>
    <xf numFmtId="171" fontId="0" fillId="14" borderId="0" xfId="7" applyNumberFormat="1" applyFont="1" applyFill="1" applyAlignment="1">
      <alignment horizontal="left"/>
    </xf>
    <xf numFmtId="0" fontId="6" fillId="15" borderId="0" xfId="4" applyFill="1"/>
    <xf numFmtId="0" fontId="6" fillId="9" borderId="0" xfId="4" applyFill="1"/>
    <xf numFmtId="0" fontId="6" fillId="0" borderId="0" xfId="4" applyAlignment="1">
      <alignment horizontal="left"/>
    </xf>
    <xf numFmtId="0" fontId="26" fillId="0" borderId="0" xfId="8" applyAlignment="1"/>
    <xf numFmtId="2" fontId="6" fillId="0" borderId="0" xfId="4" applyNumberFormat="1"/>
    <xf numFmtId="166" fontId="6" fillId="0" borderId="0" xfId="4" applyNumberFormat="1"/>
    <xf numFmtId="0" fontId="44" fillId="0" borderId="42" xfId="4" applyFont="1" applyBorder="1" applyAlignment="1">
      <alignment horizontal="center" vertical="center" wrapText="1"/>
    </xf>
    <xf numFmtId="0" fontId="35" fillId="0" borderId="41" xfId="4" applyFont="1" applyBorder="1" applyAlignment="1">
      <alignment vertical="center" wrapText="1"/>
    </xf>
    <xf numFmtId="0" fontId="44" fillId="0" borderId="41" xfId="4" applyFont="1" applyBorder="1" applyAlignment="1">
      <alignment horizontal="center" vertical="center" wrapText="1"/>
    </xf>
    <xf numFmtId="0" fontId="35" fillId="0" borderId="41" xfId="4" applyFont="1" applyBorder="1" applyAlignment="1">
      <alignment horizontal="center" vertical="center" wrapText="1"/>
    </xf>
    <xf numFmtId="0" fontId="35" fillId="0" borderId="42" xfId="4" applyFont="1" applyBorder="1" applyAlignment="1">
      <alignment vertical="center" wrapText="1"/>
    </xf>
    <xf numFmtId="0" fontId="44" fillId="0" borderId="1" xfId="4" applyFont="1" applyBorder="1" applyAlignment="1">
      <alignment horizontal="center" vertical="center" wrapText="1"/>
    </xf>
    <xf numFmtId="0" fontId="6" fillId="0" borderId="1" xfId="4" applyBorder="1" applyAlignment="1">
      <alignment horizontal="center"/>
    </xf>
    <xf numFmtId="0" fontId="35" fillId="0" borderId="1" xfId="4" applyFont="1" applyBorder="1" applyAlignment="1">
      <alignment horizontal="center" vertical="center" wrapText="1"/>
    </xf>
    <xf numFmtId="0" fontId="10" fillId="0" borderId="0" xfId="4" applyFont="1" applyAlignment="1">
      <alignment vertical="center"/>
    </xf>
    <xf numFmtId="0" fontId="44" fillId="0" borderId="74" xfId="4" applyFont="1" applyBorder="1" applyAlignment="1">
      <alignment horizontal="center" vertical="center" wrapText="1"/>
    </xf>
    <xf numFmtId="0" fontId="35" fillId="11" borderId="41" xfId="4" applyFont="1" applyFill="1" applyBorder="1" applyAlignment="1">
      <alignment vertical="center" wrapText="1"/>
    </xf>
    <xf numFmtId="0" fontId="35" fillId="11" borderId="71" xfId="4" applyFont="1" applyFill="1" applyBorder="1" applyAlignment="1">
      <alignment vertical="center" wrapText="1"/>
    </xf>
    <xf numFmtId="0" fontId="35" fillId="11" borderId="42" xfId="4" applyFont="1" applyFill="1" applyBorder="1" applyAlignment="1">
      <alignment vertical="center" wrapText="1"/>
    </xf>
    <xf numFmtId="0" fontId="35" fillId="0" borderId="71" xfId="4" applyFont="1" applyBorder="1" applyAlignment="1">
      <alignment vertical="center" wrapText="1"/>
    </xf>
    <xf numFmtId="2" fontId="35" fillId="0" borderId="41" xfId="4" applyNumberFormat="1" applyFont="1" applyBorder="1" applyAlignment="1">
      <alignment horizontal="center" vertical="center" wrapText="1"/>
    </xf>
    <xf numFmtId="0" fontId="44" fillId="0" borderId="0" xfId="4" applyFont="1" applyAlignment="1">
      <alignment horizontal="center" vertical="center" wrapText="1"/>
    </xf>
    <xf numFmtId="0" fontId="35" fillId="0" borderId="1" xfId="4" applyFont="1" applyBorder="1" applyAlignment="1">
      <alignment vertical="center" wrapText="1"/>
    </xf>
    <xf numFmtId="0" fontId="35" fillId="0" borderId="0" xfId="4" applyFont="1" applyAlignment="1">
      <alignment horizontal="center" vertical="center" wrapText="1"/>
    </xf>
    <xf numFmtId="4" fontId="35" fillId="0" borderId="1" xfId="4" applyNumberFormat="1" applyFont="1" applyBorder="1" applyAlignment="1">
      <alignment horizontal="center" vertical="center" wrapText="1"/>
    </xf>
    <xf numFmtId="0" fontId="6" fillId="0" borderId="75" xfId="4" applyBorder="1"/>
    <xf numFmtId="0" fontId="6" fillId="0" borderId="1" xfId="4" applyBorder="1" applyAlignment="1">
      <alignment horizontal="right"/>
    </xf>
    <xf numFmtId="170" fontId="6" fillId="0" borderId="1" xfId="4" applyNumberFormat="1" applyBorder="1"/>
    <xf numFmtId="2" fontId="6" fillId="0" borderId="1" xfId="4" applyNumberFormat="1" applyBorder="1"/>
    <xf numFmtId="0" fontId="45" fillId="0" borderId="1" xfId="4" applyFont="1" applyBorder="1" applyAlignment="1">
      <alignment horizontal="center" vertical="top" wrapText="1"/>
    </xf>
    <xf numFmtId="0" fontId="45" fillId="0" borderId="1" xfId="4" applyFont="1" applyBorder="1" applyAlignment="1">
      <alignment horizontal="center" vertical="center" wrapText="1"/>
    </xf>
    <xf numFmtId="0" fontId="34" fillId="0" borderId="1" xfId="4" applyFont="1" applyBorder="1" applyAlignment="1">
      <alignment horizontal="center" vertical="top" wrapText="1"/>
    </xf>
    <xf numFmtId="0" fontId="37" fillId="0" borderId="1" xfId="4" applyFont="1" applyBorder="1"/>
    <xf numFmtId="167" fontId="34" fillId="0" borderId="1" xfId="4" applyNumberFormat="1" applyFont="1" applyBorder="1" applyAlignment="1">
      <alignment horizontal="center" vertical="top" wrapText="1"/>
    </xf>
    <xf numFmtId="167" fontId="37" fillId="0" borderId="1" xfId="4" applyNumberFormat="1" applyFont="1" applyBorder="1"/>
    <xf numFmtId="0" fontId="45" fillId="0" borderId="0" xfId="4" applyFont="1" applyAlignment="1">
      <alignment horizontal="center" vertical="top" wrapText="1"/>
    </xf>
    <xf numFmtId="0" fontId="45" fillId="0" borderId="0" xfId="4" applyFont="1" applyAlignment="1">
      <alignment horizontal="center" vertical="center" wrapText="1"/>
    </xf>
    <xf numFmtId="0" fontId="34" fillId="0" borderId="0" xfId="4" applyFont="1" applyAlignment="1">
      <alignment horizontal="center" vertical="top" wrapText="1"/>
    </xf>
    <xf numFmtId="2" fontId="37" fillId="0" borderId="0" xfId="4" applyNumberFormat="1" applyFont="1"/>
    <xf numFmtId="0" fontId="38" fillId="0" borderId="0" xfId="4" applyFont="1" applyAlignment="1">
      <alignment horizontal="right"/>
    </xf>
    <xf numFmtId="0" fontId="38" fillId="0" borderId="0" xfId="4" applyFont="1"/>
    <xf numFmtId="0" fontId="19" fillId="0" borderId="0" xfId="4" applyFont="1" applyAlignment="1">
      <alignment vertical="center"/>
    </xf>
    <xf numFmtId="0" fontId="37" fillId="16" borderId="0" xfId="4" applyFont="1" applyFill="1" applyAlignment="1">
      <alignment horizontal="left"/>
    </xf>
    <xf numFmtId="172" fontId="37" fillId="11" borderId="0" xfId="4" applyNumberFormat="1" applyFont="1" applyFill="1"/>
    <xf numFmtId="0" fontId="46" fillId="0" borderId="0" xfId="4" applyFont="1" applyAlignment="1">
      <alignment vertical="center"/>
    </xf>
    <xf numFmtId="173" fontId="37" fillId="11" borderId="0" xfId="4" applyNumberFormat="1" applyFont="1" applyFill="1"/>
    <xf numFmtId="174" fontId="37" fillId="16" borderId="0" xfId="7" applyNumberFormat="1" applyFont="1" applyFill="1" applyAlignment="1">
      <alignment horizontal="left"/>
    </xf>
    <xf numFmtId="174" fontId="37" fillId="11" borderId="0" xfId="4" applyNumberFormat="1" applyFont="1" applyFill="1"/>
    <xf numFmtId="0" fontId="37" fillId="16" borderId="0" xfId="4" applyFont="1" applyFill="1"/>
    <xf numFmtId="167" fontId="34" fillId="0" borderId="0" xfId="4" applyNumberFormat="1" applyFont="1" applyAlignment="1">
      <alignment horizontal="center" vertical="top" wrapText="1"/>
    </xf>
    <xf numFmtId="0" fontId="3" fillId="2" borderId="0" xfId="2" applyBorder="1" applyAlignment="1">
      <alignment horizontal="left" vertical="center"/>
    </xf>
    <xf numFmtId="0" fontId="3" fillId="2" borderId="3" xfId="2" applyBorder="1" applyAlignment="1">
      <alignment horizontal="left" vertical="center"/>
    </xf>
    <xf numFmtId="0" fontId="3" fillId="2" borderId="0" xfId="2" applyBorder="1" applyAlignment="1">
      <alignment horizontal="center" vertical="center"/>
    </xf>
    <xf numFmtId="0" fontId="3" fillId="2" borderId="3" xfId="2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6" fillId="0" borderId="42" xfId="0" applyFont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17" fillId="0" borderId="42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8" fillId="0" borderId="42" xfId="0" applyFont="1" applyBorder="1" applyAlignment="1">
      <alignment horizontal="center" vertical="center" wrapText="1"/>
    </xf>
    <xf numFmtId="0" fontId="28" fillId="0" borderId="45" xfId="0" applyFont="1" applyBorder="1" applyAlignment="1">
      <alignment horizontal="center" vertical="center" wrapText="1"/>
    </xf>
    <xf numFmtId="0" fontId="20" fillId="0" borderId="0" xfId="4" applyFont="1" applyAlignment="1">
      <alignment horizontal="left" vertical="center" wrapText="1"/>
    </xf>
    <xf numFmtId="0" fontId="28" fillId="0" borderId="44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6" fillId="0" borderId="1" xfId="4" applyBorder="1" applyAlignment="1">
      <alignment horizontal="left" wrapText="1"/>
    </xf>
    <xf numFmtId="0" fontId="34" fillId="0" borderId="1" xfId="4" applyFont="1" applyBorder="1" applyAlignment="1">
      <alignment horizontal="center" vertical="center"/>
    </xf>
    <xf numFmtId="0" fontId="35" fillId="0" borderId="22" xfId="4" applyFont="1" applyBorder="1" applyAlignment="1">
      <alignment horizontal="center" vertical="top" wrapText="1"/>
    </xf>
    <xf numFmtId="0" fontId="35" fillId="0" borderId="15" xfId="4" applyFont="1" applyBorder="1" applyAlignment="1">
      <alignment horizontal="center" vertical="top" wrapText="1"/>
    </xf>
    <xf numFmtId="0" fontId="35" fillId="0" borderId="22" xfId="4" applyFont="1" applyBorder="1" applyAlignment="1">
      <alignment horizontal="center" vertical="center" wrapText="1"/>
    </xf>
    <xf numFmtId="0" fontId="35" fillId="0" borderId="15" xfId="4" applyFont="1" applyBorder="1" applyAlignment="1">
      <alignment horizontal="center" vertical="center" wrapText="1"/>
    </xf>
    <xf numFmtId="0" fontId="35" fillId="0" borderId="22" xfId="4" applyFont="1" applyBorder="1" applyAlignment="1">
      <alignment horizontal="center" vertical="center"/>
    </xf>
    <xf numFmtId="0" fontId="35" fillId="0" borderId="15" xfId="4" applyFont="1" applyBorder="1" applyAlignment="1">
      <alignment horizontal="center" vertical="center"/>
    </xf>
    <xf numFmtId="0" fontId="35" fillId="0" borderId="1" xfId="4" applyFont="1" applyBorder="1" applyAlignment="1">
      <alignment horizontal="center" vertical="center"/>
    </xf>
    <xf numFmtId="0" fontId="16" fillId="0" borderId="56" xfId="0" applyFont="1" applyBorder="1" applyAlignment="1">
      <alignment horizontal="center" vertical="center" wrapText="1"/>
    </xf>
    <xf numFmtId="0" fontId="16" fillId="0" borderId="57" xfId="0" applyFont="1" applyBorder="1" applyAlignment="1">
      <alignment horizontal="center" vertical="center" wrapText="1"/>
    </xf>
    <xf numFmtId="0" fontId="16" fillId="0" borderId="66" xfId="0" applyFont="1" applyBorder="1" applyAlignment="1">
      <alignment horizontal="center" vertical="center" wrapText="1"/>
    </xf>
    <xf numFmtId="0" fontId="16" fillId="0" borderId="67" xfId="0" applyFont="1" applyBorder="1" applyAlignment="1">
      <alignment horizontal="center" vertical="center" wrapText="1"/>
    </xf>
    <xf numFmtId="0" fontId="16" fillId="0" borderId="61" xfId="0" applyFont="1" applyBorder="1" applyAlignment="1">
      <alignment horizontal="center" vertical="center" wrapText="1"/>
    </xf>
    <xf numFmtId="0" fontId="16" fillId="0" borderId="62" xfId="0" applyFont="1" applyBorder="1" applyAlignment="1">
      <alignment horizontal="center" vertical="center" wrapText="1"/>
    </xf>
    <xf numFmtId="0" fontId="35" fillId="0" borderId="42" xfId="4" applyFont="1" applyBorder="1" applyAlignment="1">
      <alignment vertical="center" wrapText="1"/>
    </xf>
    <xf numFmtId="0" fontId="35" fillId="0" borderId="43" xfId="4" applyFont="1" applyBorder="1" applyAlignment="1">
      <alignment vertical="center" wrapText="1"/>
    </xf>
    <xf numFmtId="0" fontId="44" fillId="0" borderId="42" xfId="4" applyFont="1" applyBorder="1" applyAlignment="1">
      <alignment horizontal="center" vertical="center" wrapText="1"/>
    </xf>
    <xf numFmtId="0" fontId="44" fillId="0" borderId="45" xfId="4" applyFont="1" applyBorder="1" applyAlignment="1">
      <alignment horizontal="center" vertical="center" wrapText="1"/>
    </xf>
    <xf numFmtId="0" fontId="44" fillId="0" borderId="43" xfId="4" applyFont="1" applyBorder="1" applyAlignment="1">
      <alignment horizontal="center" vertical="center" wrapText="1"/>
    </xf>
    <xf numFmtId="0" fontId="44" fillId="0" borderId="71" xfId="4" applyFont="1" applyBorder="1" applyAlignment="1">
      <alignment horizontal="center" vertical="center" wrapText="1"/>
    </xf>
    <xf numFmtId="0" fontId="44" fillId="0" borderId="72" xfId="4" applyFont="1" applyBorder="1" applyAlignment="1">
      <alignment horizontal="center" vertical="center" wrapText="1"/>
    </xf>
    <xf numFmtId="0" fontId="44" fillId="0" borderId="73" xfId="4" applyFont="1" applyBorder="1" applyAlignment="1">
      <alignment horizontal="center" vertical="center" wrapText="1"/>
    </xf>
  </cellXfs>
  <cellStyles count="9">
    <cellStyle name="20% - Accent5" xfId="3" builtinId="46"/>
    <cellStyle name="Accent5" xfId="2" builtinId="45"/>
    <cellStyle name="Comma" xfId="1" builtinId="3"/>
    <cellStyle name="Hyperlink" xfId="6" builtinId="8"/>
    <cellStyle name="Hyperlink 2" xfId="8" xr:uid="{8049B81E-06F2-4977-B77C-4636FEC5DBD8}"/>
    <cellStyle name="Normal" xfId="0" builtinId="0"/>
    <cellStyle name="Normal 2" xfId="4" xr:uid="{1CE3034F-48B4-430A-BFC6-D10E666CEBA4}"/>
    <cellStyle name="Normal 5" xfId="5" xr:uid="{CA527122-591A-43EB-9244-3271D876988E}"/>
    <cellStyle name="Percent 2" xfId="7" xr:uid="{D58C57B7-BA63-4E00-AD10-166BC92A9807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 on Given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Attendance vs. Marks%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302778650584102"/>
                  <c:y val="-0.659908448943882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'Correlation &amp; Regression-1'!$B$3:$B$9</c:f>
              <c:numCache>
                <c:formatCode>General</c:formatCode>
                <c:ptCount val="7"/>
                <c:pt idx="0">
                  <c:v>6</c:v>
                </c:pt>
                <c:pt idx="1">
                  <c:v>2</c:v>
                </c:pt>
                <c:pt idx="2">
                  <c:v>15</c:v>
                </c:pt>
                <c:pt idx="3">
                  <c:v>9</c:v>
                </c:pt>
                <c:pt idx="4">
                  <c:v>12</c:v>
                </c:pt>
                <c:pt idx="5">
                  <c:v>5</c:v>
                </c:pt>
                <c:pt idx="6">
                  <c:v>8</c:v>
                </c:pt>
              </c:numCache>
            </c:numRef>
          </c:xVal>
          <c:yVal>
            <c:numRef>
              <c:f>'Correlation &amp; Regression-1'!$C$3:$C$9</c:f>
              <c:numCache>
                <c:formatCode>General</c:formatCode>
                <c:ptCount val="7"/>
                <c:pt idx="0">
                  <c:v>82</c:v>
                </c:pt>
                <c:pt idx="1">
                  <c:v>86</c:v>
                </c:pt>
                <c:pt idx="2">
                  <c:v>43</c:v>
                </c:pt>
                <c:pt idx="3">
                  <c:v>74</c:v>
                </c:pt>
                <c:pt idx="4">
                  <c:v>58</c:v>
                </c:pt>
                <c:pt idx="5">
                  <c:v>90</c:v>
                </c:pt>
                <c:pt idx="6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DC-498C-BF4A-7B5B70F8FFAE}"/>
            </c:ext>
          </c:extLst>
        </c:ser>
        <c:ser>
          <c:idx val="1"/>
          <c:order val="1"/>
          <c:tx>
            <c:v>Prediction-1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'Correlation &amp; Regression-1'!$E$23</c:f>
              <c:numCache>
                <c:formatCode>General</c:formatCode>
                <c:ptCount val="1"/>
                <c:pt idx="0">
                  <c:v>7</c:v>
                </c:pt>
              </c:numCache>
            </c:numRef>
          </c:xVal>
          <c:yVal>
            <c:numRef>
              <c:f>'Correlation &amp; Regression-1'!$F$23</c:f>
              <c:numCache>
                <c:formatCode>General</c:formatCode>
                <c:ptCount val="1"/>
                <c:pt idx="0">
                  <c:v>77.139303482587053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DC-498C-BF4A-7B5B70F8FFAE}"/>
            </c:ext>
          </c:extLst>
        </c:ser>
        <c:ser>
          <c:idx val="2"/>
          <c:order val="2"/>
          <c:tx>
            <c:v>Prediction-2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'Correlation &amp; Regression-1'!$E$24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'Correlation &amp; Regression-1'!$F$24</c:f>
              <c:numCache>
                <c:formatCode>General</c:formatCode>
                <c:ptCount val="1"/>
                <c:pt idx="0">
                  <c:v>66.273631840796014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EDC-498C-BF4A-7B5B70F8FF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2366560"/>
        <c:axId val="1022373760"/>
      </c:scatterChart>
      <c:valAx>
        <c:axId val="1022366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Attendace of the Student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373760"/>
        <c:crosses val="autoZero"/>
        <c:crossBetween val="midCat"/>
      </c:valAx>
      <c:valAx>
        <c:axId val="1022373760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Marks% of the Student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366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Attendence vs. Marks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Attendance vs Marks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9828237095363082"/>
                  <c:y val="-0.614858559346748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'Correlation &amp; Regression-1'!$E$13:$E$19</c:f>
              <c:numCache>
                <c:formatCode>General</c:formatCode>
                <c:ptCount val="7"/>
                <c:pt idx="0">
                  <c:v>6</c:v>
                </c:pt>
                <c:pt idx="1">
                  <c:v>2</c:v>
                </c:pt>
                <c:pt idx="2">
                  <c:v>15</c:v>
                </c:pt>
                <c:pt idx="3">
                  <c:v>9</c:v>
                </c:pt>
                <c:pt idx="4">
                  <c:v>12</c:v>
                </c:pt>
                <c:pt idx="5">
                  <c:v>5</c:v>
                </c:pt>
                <c:pt idx="6">
                  <c:v>8</c:v>
                </c:pt>
              </c:numCache>
            </c:numRef>
          </c:xVal>
          <c:yVal>
            <c:numRef>
              <c:f>'Correlation &amp; Regression-1'!$F$13:$F$19</c:f>
              <c:numCache>
                <c:formatCode>General</c:formatCode>
                <c:ptCount val="7"/>
                <c:pt idx="0">
                  <c:v>82</c:v>
                </c:pt>
                <c:pt idx="1">
                  <c:v>86</c:v>
                </c:pt>
                <c:pt idx="2">
                  <c:v>43</c:v>
                </c:pt>
                <c:pt idx="3">
                  <c:v>74</c:v>
                </c:pt>
                <c:pt idx="4">
                  <c:v>58</c:v>
                </c:pt>
                <c:pt idx="5">
                  <c:v>90</c:v>
                </c:pt>
                <c:pt idx="6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B6-41B5-A6BB-EDBDBFBE3F2D}"/>
            </c:ext>
          </c:extLst>
        </c:ser>
        <c:ser>
          <c:idx val="1"/>
          <c:order val="1"/>
          <c:tx>
            <c:v>Prediction-1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'Correlation &amp; Regression-1'!$E$23</c:f>
              <c:numCache>
                <c:formatCode>General</c:formatCode>
                <c:ptCount val="1"/>
                <c:pt idx="0">
                  <c:v>7</c:v>
                </c:pt>
              </c:numCache>
            </c:numRef>
          </c:xVal>
          <c:yVal>
            <c:numRef>
              <c:f>'Correlation &amp; Regression-1'!$F$23</c:f>
              <c:numCache>
                <c:formatCode>General</c:formatCode>
                <c:ptCount val="1"/>
                <c:pt idx="0">
                  <c:v>77.139303482587053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B6-41B5-A6BB-EDBDBFBE3F2D}"/>
            </c:ext>
          </c:extLst>
        </c:ser>
        <c:ser>
          <c:idx val="2"/>
          <c:order val="2"/>
          <c:tx>
            <c:v>Prediction-2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'Correlation &amp; Regression-1'!$E$24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'Correlation &amp; Regression-1'!$F$24</c:f>
              <c:numCache>
                <c:formatCode>General</c:formatCode>
                <c:ptCount val="1"/>
                <c:pt idx="0">
                  <c:v>66.273631840796014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B6-41B5-A6BB-EDBDBFBE3F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465968"/>
        <c:axId val="1028451088"/>
      </c:scatterChart>
      <c:valAx>
        <c:axId val="1028465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Attendance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451088"/>
        <c:crosses val="autoZero"/>
        <c:crossBetween val="midCat"/>
      </c:valAx>
      <c:valAx>
        <c:axId val="1028451088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Marks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465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X-Bar Control Chart-1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'X-Bar &amp; R Control Chart'!$G$3</c:f>
              <c:strCache>
                <c:ptCount val="1"/>
                <c:pt idx="0">
                  <c:v>Average (x-bar)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Chart'!$G$4:$G$28</c:f>
              <c:numCache>
                <c:formatCode>0.00</c:formatCode>
                <c:ptCount val="25"/>
                <c:pt idx="0">
                  <c:v>15.907499999999999</c:v>
                </c:pt>
                <c:pt idx="1">
                  <c:v>15.995000000000001</c:v>
                </c:pt>
                <c:pt idx="2">
                  <c:v>15.92</c:v>
                </c:pt>
                <c:pt idx="3">
                  <c:v>15.93</c:v>
                </c:pt>
                <c:pt idx="4">
                  <c:v>15.977500000000001</c:v>
                </c:pt>
                <c:pt idx="5">
                  <c:v>16.03</c:v>
                </c:pt>
                <c:pt idx="6">
                  <c:v>15.9575</c:v>
                </c:pt>
                <c:pt idx="7">
                  <c:v>15.93</c:v>
                </c:pt>
                <c:pt idx="8">
                  <c:v>15.9575</c:v>
                </c:pt>
                <c:pt idx="9">
                  <c:v>15.8325</c:v>
                </c:pt>
                <c:pt idx="10">
                  <c:v>15.985000000000001</c:v>
                </c:pt>
                <c:pt idx="11">
                  <c:v>15.959999999999999</c:v>
                </c:pt>
                <c:pt idx="12">
                  <c:v>15.8325</c:v>
                </c:pt>
                <c:pt idx="13">
                  <c:v>15.907500000000001</c:v>
                </c:pt>
                <c:pt idx="14">
                  <c:v>16.05</c:v>
                </c:pt>
                <c:pt idx="15">
                  <c:v>15.9925</c:v>
                </c:pt>
                <c:pt idx="16">
                  <c:v>15.8575</c:v>
                </c:pt>
                <c:pt idx="17">
                  <c:v>16.012499999999999</c:v>
                </c:pt>
                <c:pt idx="18">
                  <c:v>15.982500000000002</c:v>
                </c:pt>
                <c:pt idx="19">
                  <c:v>16.015000000000001</c:v>
                </c:pt>
                <c:pt idx="20">
                  <c:v>16.002499999999998</c:v>
                </c:pt>
                <c:pt idx="21">
                  <c:v>15.895</c:v>
                </c:pt>
                <c:pt idx="22">
                  <c:v>15.860000000000001</c:v>
                </c:pt>
                <c:pt idx="23">
                  <c:v>15.942500000000001</c:v>
                </c:pt>
                <c:pt idx="24">
                  <c:v>15.940000000000001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63-4240-BBE9-E47A45BECA7B}"/>
            </c:ext>
          </c:extLst>
        </c:ser>
        <c:ser>
          <c:idx val="1"/>
          <c:order val="1"/>
          <c:tx>
            <c:strRef>
              <c:f>'X-Bar &amp; R Control Chart'!$I$3</c:f>
              <c:strCache>
                <c:ptCount val="1"/>
                <c:pt idx="0">
                  <c:v>CL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Chart'!$I$4:$I$28</c:f>
              <c:numCache>
                <c:formatCode>0.00</c:formatCode>
                <c:ptCount val="25"/>
                <c:pt idx="0">
                  <c:v>15.946900000000003</c:v>
                </c:pt>
                <c:pt idx="1">
                  <c:v>15.946900000000003</c:v>
                </c:pt>
                <c:pt idx="2">
                  <c:v>15.946900000000003</c:v>
                </c:pt>
                <c:pt idx="3">
                  <c:v>15.946900000000003</c:v>
                </c:pt>
                <c:pt idx="4">
                  <c:v>15.946900000000003</c:v>
                </c:pt>
                <c:pt idx="5">
                  <c:v>15.946900000000003</c:v>
                </c:pt>
                <c:pt idx="6">
                  <c:v>15.946900000000003</c:v>
                </c:pt>
                <c:pt idx="7">
                  <c:v>15.946900000000003</c:v>
                </c:pt>
                <c:pt idx="8">
                  <c:v>15.946900000000003</c:v>
                </c:pt>
                <c:pt idx="9">
                  <c:v>15.946900000000003</c:v>
                </c:pt>
                <c:pt idx="10">
                  <c:v>15.946900000000003</c:v>
                </c:pt>
                <c:pt idx="11">
                  <c:v>15.946900000000003</c:v>
                </c:pt>
                <c:pt idx="12">
                  <c:v>15.946900000000003</c:v>
                </c:pt>
                <c:pt idx="13">
                  <c:v>15.946900000000003</c:v>
                </c:pt>
                <c:pt idx="14">
                  <c:v>15.946900000000003</c:v>
                </c:pt>
                <c:pt idx="15">
                  <c:v>15.946900000000003</c:v>
                </c:pt>
                <c:pt idx="16">
                  <c:v>15.946900000000003</c:v>
                </c:pt>
                <c:pt idx="17">
                  <c:v>15.946900000000003</c:v>
                </c:pt>
                <c:pt idx="18">
                  <c:v>15.946900000000003</c:v>
                </c:pt>
                <c:pt idx="19">
                  <c:v>15.946900000000003</c:v>
                </c:pt>
                <c:pt idx="20">
                  <c:v>15.946900000000003</c:v>
                </c:pt>
                <c:pt idx="21">
                  <c:v>15.946900000000003</c:v>
                </c:pt>
                <c:pt idx="22">
                  <c:v>15.946900000000003</c:v>
                </c:pt>
                <c:pt idx="23">
                  <c:v>15.946900000000003</c:v>
                </c:pt>
                <c:pt idx="24">
                  <c:v>15.946900000000003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63-4240-BBE9-E47A45BECA7B}"/>
            </c:ext>
          </c:extLst>
        </c:ser>
        <c:ser>
          <c:idx val="2"/>
          <c:order val="2"/>
          <c:tx>
            <c:strRef>
              <c:f>'X-Bar &amp; R Control Chart'!$J$3</c:f>
              <c:strCache>
                <c:ptCount val="1"/>
                <c:pt idx="0">
                  <c:v>UCL-1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Chart'!$J$4:$J$28</c:f>
              <c:numCache>
                <c:formatCode>0.00</c:formatCode>
                <c:ptCount val="25"/>
                <c:pt idx="0">
                  <c:v>16.156900000000004</c:v>
                </c:pt>
                <c:pt idx="1">
                  <c:v>16.156900000000004</c:v>
                </c:pt>
                <c:pt idx="2">
                  <c:v>16.156900000000004</c:v>
                </c:pt>
                <c:pt idx="3">
                  <c:v>16.156900000000004</c:v>
                </c:pt>
                <c:pt idx="4">
                  <c:v>16.156900000000004</c:v>
                </c:pt>
                <c:pt idx="5">
                  <c:v>16.156900000000004</c:v>
                </c:pt>
                <c:pt idx="6">
                  <c:v>16.156900000000004</c:v>
                </c:pt>
                <c:pt idx="7">
                  <c:v>16.156900000000004</c:v>
                </c:pt>
                <c:pt idx="8">
                  <c:v>16.156900000000004</c:v>
                </c:pt>
                <c:pt idx="9">
                  <c:v>16.156900000000004</c:v>
                </c:pt>
                <c:pt idx="10">
                  <c:v>16.156900000000004</c:v>
                </c:pt>
                <c:pt idx="11">
                  <c:v>16.156900000000004</c:v>
                </c:pt>
                <c:pt idx="12">
                  <c:v>16.156900000000004</c:v>
                </c:pt>
                <c:pt idx="13">
                  <c:v>16.156900000000004</c:v>
                </c:pt>
                <c:pt idx="14">
                  <c:v>16.156900000000004</c:v>
                </c:pt>
                <c:pt idx="15">
                  <c:v>16.156900000000004</c:v>
                </c:pt>
                <c:pt idx="16">
                  <c:v>16.156900000000004</c:v>
                </c:pt>
                <c:pt idx="17">
                  <c:v>16.156900000000004</c:v>
                </c:pt>
                <c:pt idx="18">
                  <c:v>16.156900000000004</c:v>
                </c:pt>
                <c:pt idx="19">
                  <c:v>16.156900000000004</c:v>
                </c:pt>
                <c:pt idx="20">
                  <c:v>16.156900000000004</c:v>
                </c:pt>
                <c:pt idx="21">
                  <c:v>16.156900000000004</c:v>
                </c:pt>
                <c:pt idx="22">
                  <c:v>16.156900000000004</c:v>
                </c:pt>
                <c:pt idx="23">
                  <c:v>16.156900000000004</c:v>
                </c:pt>
                <c:pt idx="24">
                  <c:v>16.156900000000004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63-4240-BBE9-E47A45BECA7B}"/>
            </c:ext>
          </c:extLst>
        </c:ser>
        <c:ser>
          <c:idx val="3"/>
          <c:order val="3"/>
          <c:tx>
            <c:strRef>
              <c:f>'X-Bar &amp; R Control Chart'!$K$3</c:f>
              <c:strCache>
                <c:ptCount val="1"/>
                <c:pt idx="0">
                  <c:v>LCL-1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Chart'!$K$4:$K$28</c:f>
              <c:numCache>
                <c:formatCode>0.00</c:formatCode>
                <c:ptCount val="25"/>
                <c:pt idx="0">
                  <c:v>15.736900000000002</c:v>
                </c:pt>
                <c:pt idx="1">
                  <c:v>15.736900000000002</c:v>
                </c:pt>
                <c:pt idx="2">
                  <c:v>15.736900000000002</c:v>
                </c:pt>
                <c:pt idx="3">
                  <c:v>15.736900000000002</c:v>
                </c:pt>
                <c:pt idx="4">
                  <c:v>15.736900000000002</c:v>
                </c:pt>
                <c:pt idx="5">
                  <c:v>15.736900000000002</c:v>
                </c:pt>
                <c:pt idx="6">
                  <c:v>15.736900000000002</c:v>
                </c:pt>
                <c:pt idx="7">
                  <c:v>15.736900000000002</c:v>
                </c:pt>
                <c:pt idx="8">
                  <c:v>15.736900000000002</c:v>
                </c:pt>
                <c:pt idx="9">
                  <c:v>15.736900000000002</c:v>
                </c:pt>
                <c:pt idx="10">
                  <c:v>15.736900000000002</c:v>
                </c:pt>
                <c:pt idx="11">
                  <c:v>15.736900000000002</c:v>
                </c:pt>
                <c:pt idx="12">
                  <c:v>15.736900000000002</c:v>
                </c:pt>
                <c:pt idx="13">
                  <c:v>15.736900000000002</c:v>
                </c:pt>
                <c:pt idx="14">
                  <c:v>15.736900000000002</c:v>
                </c:pt>
                <c:pt idx="15">
                  <c:v>15.736900000000002</c:v>
                </c:pt>
                <c:pt idx="16">
                  <c:v>15.736900000000002</c:v>
                </c:pt>
                <c:pt idx="17">
                  <c:v>15.736900000000002</c:v>
                </c:pt>
                <c:pt idx="18">
                  <c:v>15.736900000000002</c:v>
                </c:pt>
                <c:pt idx="19">
                  <c:v>15.736900000000002</c:v>
                </c:pt>
                <c:pt idx="20">
                  <c:v>15.736900000000002</c:v>
                </c:pt>
                <c:pt idx="21">
                  <c:v>15.736900000000002</c:v>
                </c:pt>
                <c:pt idx="22">
                  <c:v>15.736900000000002</c:v>
                </c:pt>
                <c:pt idx="23">
                  <c:v>15.736900000000002</c:v>
                </c:pt>
                <c:pt idx="24">
                  <c:v>15.736900000000002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63-4240-BBE9-E47A45BECA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9564592"/>
        <c:axId val="1879573712"/>
      </c:lineChart>
      <c:catAx>
        <c:axId val="1879564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573712"/>
        <c:crosses val="autoZero"/>
        <c:auto val="1"/>
        <c:lblAlgn val="ctr"/>
        <c:lblOffset val="100"/>
        <c:noMultiLvlLbl val="0"/>
      </c:catAx>
      <c:valAx>
        <c:axId val="187957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56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X-Bar Control Chart-2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'X-Bar &amp; R Control Chart'!$G$3</c:f>
              <c:strCache>
                <c:ptCount val="1"/>
                <c:pt idx="0">
                  <c:v>Average (x-bar)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Chart'!$G$4:$G$28</c:f>
              <c:numCache>
                <c:formatCode>0.00</c:formatCode>
                <c:ptCount val="25"/>
                <c:pt idx="0">
                  <c:v>15.907499999999999</c:v>
                </c:pt>
                <c:pt idx="1">
                  <c:v>15.995000000000001</c:v>
                </c:pt>
                <c:pt idx="2">
                  <c:v>15.92</c:v>
                </c:pt>
                <c:pt idx="3">
                  <c:v>15.93</c:v>
                </c:pt>
                <c:pt idx="4">
                  <c:v>15.977500000000001</c:v>
                </c:pt>
                <c:pt idx="5">
                  <c:v>16.03</c:v>
                </c:pt>
                <c:pt idx="6">
                  <c:v>15.9575</c:v>
                </c:pt>
                <c:pt idx="7">
                  <c:v>15.93</c:v>
                </c:pt>
                <c:pt idx="8">
                  <c:v>15.9575</c:v>
                </c:pt>
                <c:pt idx="9">
                  <c:v>15.8325</c:v>
                </c:pt>
                <c:pt idx="10">
                  <c:v>15.985000000000001</c:v>
                </c:pt>
                <c:pt idx="11">
                  <c:v>15.959999999999999</c:v>
                </c:pt>
                <c:pt idx="12">
                  <c:v>15.8325</c:v>
                </c:pt>
                <c:pt idx="13">
                  <c:v>15.907500000000001</c:v>
                </c:pt>
                <c:pt idx="14">
                  <c:v>16.05</c:v>
                </c:pt>
                <c:pt idx="15">
                  <c:v>15.9925</c:v>
                </c:pt>
                <c:pt idx="16">
                  <c:v>15.8575</c:v>
                </c:pt>
                <c:pt idx="17">
                  <c:v>16.012499999999999</c:v>
                </c:pt>
                <c:pt idx="18">
                  <c:v>15.982500000000002</c:v>
                </c:pt>
                <c:pt idx="19">
                  <c:v>16.015000000000001</c:v>
                </c:pt>
                <c:pt idx="20">
                  <c:v>16.002499999999998</c:v>
                </c:pt>
                <c:pt idx="21">
                  <c:v>15.895</c:v>
                </c:pt>
                <c:pt idx="22">
                  <c:v>15.860000000000001</c:v>
                </c:pt>
                <c:pt idx="23">
                  <c:v>15.942500000000001</c:v>
                </c:pt>
                <c:pt idx="24">
                  <c:v>15.940000000000001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4E-458F-A727-E27035A17060}"/>
            </c:ext>
          </c:extLst>
        </c:ser>
        <c:ser>
          <c:idx val="1"/>
          <c:order val="1"/>
          <c:tx>
            <c:strRef>
              <c:f>'X-Bar &amp; R Control Chart'!$I$3</c:f>
              <c:strCache>
                <c:ptCount val="1"/>
                <c:pt idx="0">
                  <c:v>CL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Chart'!$I$4:$I$28</c:f>
              <c:numCache>
                <c:formatCode>0.00</c:formatCode>
                <c:ptCount val="25"/>
                <c:pt idx="0">
                  <c:v>15.946900000000003</c:v>
                </c:pt>
                <c:pt idx="1">
                  <c:v>15.946900000000003</c:v>
                </c:pt>
                <c:pt idx="2">
                  <c:v>15.946900000000003</c:v>
                </c:pt>
                <c:pt idx="3">
                  <c:v>15.946900000000003</c:v>
                </c:pt>
                <c:pt idx="4">
                  <c:v>15.946900000000003</c:v>
                </c:pt>
                <c:pt idx="5">
                  <c:v>15.946900000000003</c:v>
                </c:pt>
                <c:pt idx="6">
                  <c:v>15.946900000000003</c:v>
                </c:pt>
                <c:pt idx="7">
                  <c:v>15.946900000000003</c:v>
                </c:pt>
                <c:pt idx="8">
                  <c:v>15.946900000000003</c:v>
                </c:pt>
                <c:pt idx="9">
                  <c:v>15.946900000000003</c:v>
                </c:pt>
                <c:pt idx="10">
                  <c:v>15.946900000000003</c:v>
                </c:pt>
                <c:pt idx="11">
                  <c:v>15.946900000000003</c:v>
                </c:pt>
                <c:pt idx="12">
                  <c:v>15.946900000000003</c:v>
                </c:pt>
                <c:pt idx="13">
                  <c:v>15.946900000000003</c:v>
                </c:pt>
                <c:pt idx="14">
                  <c:v>15.946900000000003</c:v>
                </c:pt>
                <c:pt idx="15">
                  <c:v>15.946900000000003</c:v>
                </c:pt>
                <c:pt idx="16">
                  <c:v>15.946900000000003</c:v>
                </c:pt>
                <c:pt idx="17">
                  <c:v>15.946900000000003</c:v>
                </c:pt>
                <c:pt idx="18">
                  <c:v>15.946900000000003</c:v>
                </c:pt>
                <c:pt idx="19">
                  <c:v>15.946900000000003</c:v>
                </c:pt>
                <c:pt idx="20">
                  <c:v>15.946900000000003</c:v>
                </c:pt>
                <c:pt idx="21">
                  <c:v>15.946900000000003</c:v>
                </c:pt>
                <c:pt idx="22">
                  <c:v>15.946900000000003</c:v>
                </c:pt>
                <c:pt idx="23">
                  <c:v>15.946900000000003</c:v>
                </c:pt>
                <c:pt idx="24">
                  <c:v>15.946900000000003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4E-458F-A727-E27035A17060}"/>
            </c:ext>
          </c:extLst>
        </c:ser>
        <c:ser>
          <c:idx val="2"/>
          <c:order val="2"/>
          <c:tx>
            <c:strRef>
              <c:f>'X-Bar &amp; R Control Chart'!$L$3</c:f>
              <c:strCache>
                <c:ptCount val="1"/>
                <c:pt idx="0">
                  <c:v>UCL-2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Chart'!$L$4:$L$28</c:f>
              <c:numCache>
                <c:formatCode>0.00</c:formatCode>
                <c:ptCount val="25"/>
                <c:pt idx="0">
                  <c:v>16.156264000000004</c:v>
                </c:pt>
                <c:pt idx="1">
                  <c:v>16.156264000000004</c:v>
                </c:pt>
                <c:pt idx="2">
                  <c:v>16.156264000000004</c:v>
                </c:pt>
                <c:pt idx="3">
                  <c:v>16.156264000000004</c:v>
                </c:pt>
                <c:pt idx="4">
                  <c:v>16.156264000000004</c:v>
                </c:pt>
                <c:pt idx="5">
                  <c:v>16.156264000000004</c:v>
                </c:pt>
                <c:pt idx="6">
                  <c:v>16.156264000000004</c:v>
                </c:pt>
                <c:pt idx="7">
                  <c:v>16.156264000000004</c:v>
                </c:pt>
                <c:pt idx="8">
                  <c:v>16.156264000000004</c:v>
                </c:pt>
                <c:pt idx="9">
                  <c:v>16.156264000000004</c:v>
                </c:pt>
                <c:pt idx="10">
                  <c:v>16.156264000000004</c:v>
                </c:pt>
                <c:pt idx="11">
                  <c:v>16.156264000000004</c:v>
                </c:pt>
                <c:pt idx="12">
                  <c:v>16.156264000000004</c:v>
                </c:pt>
                <c:pt idx="13">
                  <c:v>16.156264000000004</c:v>
                </c:pt>
                <c:pt idx="14">
                  <c:v>16.156264000000004</c:v>
                </c:pt>
                <c:pt idx="15">
                  <c:v>16.156264000000004</c:v>
                </c:pt>
                <c:pt idx="16">
                  <c:v>16.156264000000004</c:v>
                </c:pt>
                <c:pt idx="17">
                  <c:v>16.156264000000004</c:v>
                </c:pt>
                <c:pt idx="18">
                  <c:v>16.156264000000004</c:v>
                </c:pt>
                <c:pt idx="19">
                  <c:v>16.156264000000004</c:v>
                </c:pt>
                <c:pt idx="20">
                  <c:v>16.156264000000004</c:v>
                </c:pt>
                <c:pt idx="21">
                  <c:v>16.156264000000004</c:v>
                </c:pt>
                <c:pt idx="22">
                  <c:v>16.156264000000004</c:v>
                </c:pt>
                <c:pt idx="23">
                  <c:v>16.156264000000004</c:v>
                </c:pt>
                <c:pt idx="24">
                  <c:v>16.156264000000004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4E-458F-A727-E27035A17060}"/>
            </c:ext>
          </c:extLst>
        </c:ser>
        <c:ser>
          <c:idx val="3"/>
          <c:order val="3"/>
          <c:tx>
            <c:strRef>
              <c:f>'X-Bar &amp; R Control Chart'!$M$3</c:f>
              <c:strCache>
                <c:ptCount val="1"/>
                <c:pt idx="0">
                  <c:v>LCL-2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Chart'!$M$4:$M$28</c:f>
              <c:numCache>
                <c:formatCode>0.00</c:formatCode>
                <c:ptCount val="25"/>
                <c:pt idx="0">
                  <c:v>15.737536000000002</c:v>
                </c:pt>
                <c:pt idx="1">
                  <c:v>15.737536000000002</c:v>
                </c:pt>
                <c:pt idx="2">
                  <c:v>15.737536000000002</c:v>
                </c:pt>
                <c:pt idx="3">
                  <c:v>15.737536000000002</c:v>
                </c:pt>
                <c:pt idx="4">
                  <c:v>15.737536000000002</c:v>
                </c:pt>
                <c:pt idx="5">
                  <c:v>15.737536000000002</c:v>
                </c:pt>
                <c:pt idx="6">
                  <c:v>15.737536000000002</c:v>
                </c:pt>
                <c:pt idx="7">
                  <c:v>15.737536000000002</c:v>
                </c:pt>
                <c:pt idx="8">
                  <c:v>15.737536000000002</c:v>
                </c:pt>
                <c:pt idx="9">
                  <c:v>15.737536000000002</c:v>
                </c:pt>
                <c:pt idx="10">
                  <c:v>15.737536000000002</c:v>
                </c:pt>
                <c:pt idx="11">
                  <c:v>15.737536000000002</c:v>
                </c:pt>
                <c:pt idx="12">
                  <c:v>15.737536000000002</c:v>
                </c:pt>
                <c:pt idx="13">
                  <c:v>15.737536000000002</c:v>
                </c:pt>
                <c:pt idx="14">
                  <c:v>15.737536000000002</c:v>
                </c:pt>
                <c:pt idx="15">
                  <c:v>15.737536000000002</c:v>
                </c:pt>
                <c:pt idx="16">
                  <c:v>15.737536000000002</c:v>
                </c:pt>
                <c:pt idx="17">
                  <c:v>15.737536000000002</c:v>
                </c:pt>
                <c:pt idx="18">
                  <c:v>15.737536000000002</c:v>
                </c:pt>
                <c:pt idx="19">
                  <c:v>15.737536000000002</c:v>
                </c:pt>
                <c:pt idx="20">
                  <c:v>15.737536000000002</c:v>
                </c:pt>
                <c:pt idx="21">
                  <c:v>15.737536000000002</c:v>
                </c:pt>
                <c:pt idx="22">
                  <c:v>15.737536000000002</c:v>
                </c:pt>
                <c:pt idx="23">
                  <c:v>15.737536000000002</c:v>
                </c:pt>
                <c:pt idx="24">
                  <c:v>15.737536000000002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4E-458F-A727-E27035A17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152896"/>
        <c:axId val="1588149056"/>
      </c:lineChart>
      <c:catAx>
        <c:axId val="1588152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49056"/>
        <c:crosses val="autoZero"/>
        <c:auto val="1"/>
        <c:lblAlgn val="ctr"/>
        <c:lblOffset val="100"/>
        <c:noMultiLvlLbl val="0"/>
      </c:catAx>
      <c:valAx>
        <c:axId val="158814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5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R-Bar Control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'X-Bar &amp; R Control Chart'!$H$3</c:f>
              <c:strCache>
                <c:ptCount val="1"/>
                <c:pt idx="0">
                  <c:v>Range (R)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Chart'!$H$4:$H$28</c:f>
              <c:numCache>
                <c:formatCode>0.00</c:formatCode>
                <c:ptCount val="25"/>
                <c:pt idx="0">
                  <c:v>0.1899999999999995</c:v>
                </c:pt>
                <c:pt idx="1">
                  <c:v>0.27000000000000135</c:v>
                </c:pt>
                <c:pt idx="2">
                  <c:v>0.16999999999999993</c:v>
                </c:pt>
                <c:pt idx="3">
                  <c:v>0.45999999999999908</c:v>
                </c:pt>
                <c:pt idx="4">
                  <c:v>0.47000000000000064</c:v>
                </c:pt>
                <c:pt idx="5">
                  <c:v>0.20000000000000107</c:v>
                </c:pt>
                <c:pt idx="6">
                  <c:v>0.46000000000000085</c:v>
                </c:pt>
                <c:pt idx="7">
                  <c:v>0.19999999999999929</c:v>
                </c:pt>
                <c:pt idx="8">
                  <c:v>0.20999999999999908</c:v>
                </c:pt>
                <c:pt idx="9">
                  <c:v>0.29999999999999893</c:v>
                </c:pt>
                <c:pt idx="10">
                  <c:v>0.28999999999999915</c:v>
                </c:pt>
                <c:pt idx="11">
                  <c:v>0.42999999999999794</c:v>
                </c:pt>
                <c:pt idx="12">
                  <c:v>0.24000000000000021</c:v>
                </c:pt>
                <c:pt idx="13">
                  <c:v>0.37000000000000099</c:v>
                </c:pt>
                <c:pt idx="14">
                  <c:v>0.30999999999999872</c:v>
                </c:pt>
                <c:pt idx="15">
                  <c:v>0.29000000000000092</c:v>
                </c:pt>
                <c:pt idx="16">
                  <c:v>0.33000000000000185</c:v>
                </c:pt>
                <c:pt idx="17">
                  <c:v>0.34000000000000163</c:v>
                </c:pt>
                <c:pt idx="18">
                  <c:v>0.28000000000000114</c:v>
                </c:pt>
                <c:pt idx="19">
                  <c:v>0.20000000000000107</c:v>
                </c:pt>
                <c:pt idx="20">
                  <c:v>0.22999999999999865</c:v>
                </c:pt>
                <c:pt idx="21">
                  <c:v>0.16000000000000014</c:v>
                </c:pt>
                <c:pt idx="22">
                  <c:v>0.32000000000000028</c:v>
                </c:pt>
                <c:pt idx="23">
                  <c:v>0.15000000000000213</c:v>
                </c:pt>
                <c:pt idx="24">
                  <c:v>0.29999999999999893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CD-4705-9D1B-1B0D9E7CED11}"/>
            </c:ext>
          </c:extLst>
        </c:ser>
        <c:ser>
          <c:idx val="1"/>
          <c:order val="1"/>
          <c:tx>
            <c:strRef>
              <c:f>'X-Bar &amp; R Control Chart'!$N$3</c:f>
              <c:strCache>
                <c:ptCount val="1"/>
                <c:pt idx="0">
                  <c:v>R-Bar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Chart'!$N$4:$N$28</c:f>
              <c:numCache>
                <c:formatCode>0.00</c:formatCode>
                <c:ptCount val="25"/>
                <c:pt idx="0">
                  <c:v>0.28680000000000017</c:v>
                </c:pt>
                <c:pt idx="1">
                  <c:v>0.28680000000000017</c:v>
                </c:pt>
                <c:pt idx="2">
                  <c:v>0.28680000000000017</c:v>
                </c:pt>
                <c:pt idx="3">
                  <c:v>0.28680000000000017</c:v>
                </c:pt>
                <c:pt idx="4">
                  <c:v>0.28680000000000017</c:v>
                </c:pt>
                <c:pt idx="5">
                  <c:v>0.28680000000000017</c:v>
                </c:pt>
                <c:pt idx="6">
                  <c:v>0.28680000000000017</c:v>
                </c:pt>
                <c:pt idx="7">
                  <c:v>0.28680000000000017</c:v>
                </c:pt>
                <c:pt idx="8">
                  <c:v>0.28680000000000017</c:v>
                </c:pt>
                <c:pt idx="9">
                  <c:v>0.28680000000000017</c:v>
                </c:pt>
                <c:pt idx="10">
                  <c:v>0.28680000000000017</c:v>
                </c:pt>
                <c:pt idx="11">
                  <c:v>0.28680000000000017</c:v>
                </c:pt>
                <c:pt idx="12">
                  <c:v>0.28680000000000017</c:v>
                </c:pt>
                <c:pt idx="13">
                  <c:v>0.28680000000000017</c:v>
                </c:pt>
                <c:pt idx="14">
                  <c:v>0.28680000000000017</c:v>
                </c:pt>
                <c:pt idx="15">
                  <c:v>0.28680000000000017</c:v>
                </c:pt>
                <c:pt idx="16">
                  <c:v>0.28680000000000017</c:v>
                </c:pt>
                <c:pt idx="17">
                  <c:v>0.28680000000000017</c:v>
                </c:pt>
                <c:pt idx="18">
                  <c:v>0.28680000000000017</c:v>
                </c:pt>
                <c:pt idx="19">
                  <c:v>0.28680000000000017</c:v>
                </c:pt>
                <c:pt idx="20">
                  <c:v>0.28680000000000017</c:v>
                </c:pt>
                <c:pt idx="21">
                  <c:v>0.28680000000000017</c:v>
                </c:pt>
                <c:pt idx="22">
                  <c:v>0.28680000000000017</c:v>
                </c:pt>
                <c:pt idx="23">
                  <c:v>0.28680000000000017</c:v>
                </c:pt>
                <c:pt idx="24">
                  <c:v>0.28680000000000017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CD-4705-9D1B-1B0D9E7CED11}"/>
            </c:ext>
          </c:extLst>
        </c:ser>
        <c:ser>
          <c:idx val="2"/>
          <c:order val="2"/>
          <c:tx>
            <c:strRef>
              <c:f>'X-Bar &amp; R Control Chart'!$O$3</c:f>
              <c:strCache>
                <c:ptCount val="1"/>
                <c:pt idx="0">
                  <c:v>UCL-R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Chart'!$O$4:$O$28</c:f>
              <c:numCache>
                <c:formatCode>0.00</c:formatCode>
                <c:ptCount val="25"/>
                <c:pt idx="0">
                  <c:v>0.65390400000000037</c:v>
                </c:pt>
                <c:pt idx="1">
                  <c:v>0.65390400000000037</c:v>
                </c:pt>
                <c:pt idx="2">
                  <c:v>0.65390400000000037</c:v>
                </c:pt>
                <c:pt idx="3">
                  <c:v>0.65390400000000037</c:v>
                </c:pt>
                <c:pt idx="4">
                  <c:v>0.65390400000000037</c:v>
                </c:pt>
                <c:pt idx="5">
                  <c:v>0.65390400000000037</c:v>
                </c:pt>
                <c:pt idx="6">
                  <c:v>0.65390400000000037</c:v>
                </c:pt>
                <c:pt idx="7">
                  <c:v>0.65390400000000037</c:v>
                </c:pt>
                <c:pt idx="8">
                  <c:v>0.65390400000000037</c:v>
                </c:pt>
                <c:pt idx="9">
                  <c:v>0.65390400000000037</c:v>
                </c:pt>
                <c:pt idx="10">
                  <c:v>0.65390400000000037</c:v>
                </c:pt>
                <c:pt idx="11">
                  <c:v>0.65390400000000037</c:v>
                </c:pt>
                <c:pt idx="12">
                  <c:v>0.65390400000000037</c:v>
                </c:pt>
                <c:pt idx="13">
                  <c:v>0.65390400000000037</c:v>
                </c:pt>
                <c:pt idx="14">
                  <c:v>0.65390400000000037</c:v>
                </c:pt>
                <c:pt idx="15">
                  <c:v>0.65390400000000037</c:v>
                </c:pt>
                <c:pt idx="16">
                  <c:v>0.65390400000000037</c:v>
                </c:pt>
                <c:pt idx="17">
                  <c:v>0.65390400000000037</c:v>
                </c:pt>
                <c:pt idx="18">
                  <c:v>0.65390400000000037</c:v>
                </c:pt>
                <c:pt idx="19">
                  <c:v>0.65390400000000037</c:v>
                </c:pt>
                <c:pt idx="20">
                  <c:v>0.65390400000000037</c:v>
                </c:pt>
                <c:pt idx="21">
                  <c:v>0.65390400000000037</c:v>
                </c:pt>
                <c:pt idx="22">
                  <c:v>0.65390400000000037</c:v>
                </c:pt>
                <c:pt idx="23">
                  <c:v>0.65390400000000037</c:v>
                </c:pt>
                <c:pt idx="24">
                  <c:v>0.65390400000000037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CD-4705-9D1B-1B0D9E7CED11}"/>
            </c:ext>
          </c:extLst>
        </c:ser>
        <c:ser>
          <c:idx val="3"/>
          <c:order val="3"/>
          <c:tx>
            <c:strRef>
              <c:f>'X-Bar &amp; R Control Chart'!$P$3</c:f>
              <c:strCache>
                <c:ptCount val="1"/>
                <c:pt idx="0">
                  <c:v>LCL-R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Chart'!$P$4:$P$28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CD-4705-9D1B-1B0D9E7CE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138832"/>
        <c:axId val="1588141232"/>
      </c:lineChart>
      <c:catAx>
        <c:axId val="1588138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41232"/>
        <c:crosses val="autoZero"/>
        <c:auto val="1"/>
        <c:lblAlgn val="ctr"/>
        <c:lblOffset val="100"/>
        <c:noMultiLvlLbl val="0"/>
      </c:catAx>
      <c:valAx>
        <c:axId val="158814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3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X-Bar Control Chart-1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'X-Bar &amp; R Control Chart (2)'!$G$4</c:f>
              <c:strCache>
                <c:ptCount val="1"/>
                <c:pt idx="0">
                  <c:v>Average (x-bar)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(2)'!$G$5:$G$29</c:f>
              <c:numCache>
                <c:formatCode>0.00</c:formatCode>
                <c:ptCount val="25"/>
                <c:pt idx="0">
                  <c:v>15.907499999999999</c:v>
                </c:pt>
                <c:pt idx="1">
                  <c:v>15.995000000000001</c:v>
                </c:pt>
                <c:pt idx="2">
                  <c:v>15.92</c:v>
                </c:pt>
                <c:pt idx="3">
                  <c:v>16.43</c:v>
                </c:pt>
                <c:pt idx="4">
                  <c:v>15.977500000000001</c:v>
                </c:pt>
                <c:pt idx="5">
                  <c:v>16.03</c:v>
                </c:pt>
                <c:pt idx="6">
                  <c:v>15.9575</c:v>
                </c:pt>
                <c:pt idx="7">
                  <c:v>15.93</c:v>
                </c:pt>
                <c:pt idx="8">
                  <c:v>15.9575</c:v>
                </c:pt>
                <c:pt idx="9">
                  <c:v>15.8325</c:v>
                </c:pt>
                <c:pt idx="10">
                  <c:v>15.985000000000001</c:v>
                </c:pt>
                <c:pt idx="11">
                  <c:v>15.959999999999999</c:v>
                </c:pt>
                <c:pt idx="12">
                  <c:v>15.8325</c:v>
                </c:pt>
                <c:pt idx="13">
                  <c:v>15.907500000000001</c:v>
                </c:pt>
                <c:pt idx="14">
                  <c:v>16.05</c:v>
                </c:pt>
                <c:pt idx="15">
                  <c:v>15.9925</c:v>
                </c:pt>
                <c:pt idx="16">
                  <c:v>15.8575</c:v>
                </c:pt>
                <c:pt idx="17">
                  <c:v>16.012499999999999</c:v>
                </c:pt>
                <c:pt idx="18">
                  <c:v>15.982500000000002</c:v>
                </c:pt>
                <c:pt idx="19">
                  <c:v>16.015000000000001</c:v>
                </c:pt>
                <c:pt idx="20">
                  <c:v>16.002499999999998</c:v>
                </c:pt>
                <c:pt idx="21">
                  <c:v>15.895</c:v>
                </c:pt>
                <c:pt idx="22">
                  <c:v>15.860000000000001</c:v>
                </c:pt>
                <c:pt idx="23">
                  <c:v>15.942500000000001</c:v>
                </c:pt>
                <c:pt idx="24">
                  <c:v>15.940000000000001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BC-43EB-98FE-76C03C6C60D4}"/>
            </c:ext>
          </c:extLst>
        </c:ser>
        <c:ser>
          <c:idx val="1"/>
          <c:order val="1"/>
          <c:tx>
            <c:strRef>
              <c:f>'X-Bar &amp; R Control Chart (2)'!$I$4</c:f>
              <c:strCache>
                <c:ptCount val="1"/>
                <c:pt idx="0">
                  <c:v>CL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(2)'!$I$5:$I$29</c:f>
              <c:numCache>
                <c:formatCode>0.00</c:formatCode>
                <c:ptCount val="25"/>
                <c:pt idx="0">
                  <c:v>15.966900000000003</c:v>
                </c:pt>
                <c:pt idx="1">
                  <c:v>15.966900000000003</c:v>
                </c:pt>
                <c:pt idx="2">
                  <c:v>15.966900000000003</c:v>
                </c:pt>
                <c:pt idx="3">
                  <c:v>15.966900000000003</c:v>
                </c:pt>
                <c:pt idx="4">
                  <c:v>15.966900000000003</c:v>
                </c:pt>
                <c:pt idx="5">
                  <c:v>15.966900000000003</c:v>
                </c:pt>
                <c:pt idx="6">
                  <c:v>15.966900000000003</c:v>
                </c:pt>
                <c:pt idx="7">
                  <c:v>15.966900000000003</c:v>
                </c:pt>
                <c:pt idx="8">
                  <c:v>15.966900000000003</c:v>
                </c:pt>
                <c:pt idx="9">
                  <c:v>15.966900000000003</c:v>
                </c:pt>
                <c:pt idx="10">
                  <c:v>15.966900000000003</c:v>
                </c:pt>
                <c:pt idx="11">
                  <c:v>15.966900000000003</c:v>
                </c:pt>
                <c:pt idx="12">
                  <c:v>15.966900000000003</c:v>
                </c:pt>
                <c:pt idx="13">
                  <c:v>15.966900000000003</c:v>
                </c:pt>
                <c:pt idx="14">
                  <c:v>15.966900000000003</c:v>
                </c:pt>
                <c:pt idx="15">
                  <c:v>15.966900000000003</c:v>
                </c:pt>
                <c:pt idx="16">
                  <c:v>15.966900000000003</c:v>
                </c:pt>
                <c:pt idx="17">
                  <c:v>15.966900000000003</c:v>
                </c:pt>
                <c:pt idx="18">
                  <c:v>15.966900000000003</c:v>
                </c:pt>
                <c:pt idx="19">
                  <c:v>15.966900000000003</c:v>
                </c:pt>
                <c:pt idx="20">
                  <c:v>15.966900000000003</c:v>
                </c:pt>
                <c:pt idx="21">
                  <c:v>15.966900000000003</c:v>
                </c:pt>
                <c:pt idx="22">
                  <c:v>15.966900000000003</c:v>
                </c:pt>
                <c:pt idx="23">
                  <c:v>15.966900000000003</c:v>
                </c:pt>
                <c:pt idx="24">
                  <c:v>15.966900000000003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BC-43EB-98FE-76C03C6C60D4}"/>
            </c:ext>
          </c:extLst>
        </c:ser>
        <c:ser>
          <c:idx val="2"/>
          <c:order val="2"/>
          <c:tx>
            <c:strRef>
              <c:f>'X-Bar &amp; R Control Chart (2)'!$J$4</c:f>
              <c:strCache>
                <c:ptCount val="1"/>
                <c:pt idx="0">
                  <c:v>UCL-1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(2)'!$J$5:$J$29</c:f>
              <c:numCache>
                <c:formatCode>0.00</c:formatCode>
                <c:ptCount val="25"/>
                <c:pt idx="0">
                  <c:v>16.176900000000003</c:v>
                </c:pt>
                <c:pt idx="1">
                  <c:v>16.176900000000003</c:v>
                </c:pt>
                <c:pt idx="2">
                  <c:v>16.176900000000003</c:v>
                </c:pt>
                <c:pt idx="3">
                  <c:v>16.176900000000003</c:v>
                </c:pt>
                <c:pt idx="4">
                  <c:v>16.176900000000003</c:v>
                </c:pt>
                <c:pt idx="5">
                  <c:v>16.176900000000003</c:v>
                </c:pt>
                <c:pt idx="6">
                  <c:v>16.176900000000003</c:v>
                </c:pt>
                <c:pt idx="7">
                  <c:v>16.176900000000003</c:v>
                </c:pt>
                <c:pt idx="8">
                  <c:v>16.176900000000003</c:v>
                </c:pt>
                <c:pt idx="9">
                  <c:v>16.176900000000003</c:v>
                </c:pt>
                <c:pt idx="10">
                  <c:v>16.176900000000003</c:v>
                </c:pt>
                <c:pt idx="11">
                  <c:v>16.176900000000003</c:v>
                </c:pt>
                <c:pt idx="12">
                  <c:v>16.176900000000003</c:v>
                </c:pt>
                <c:pt idx="13">
                  <c:v>16.176900000000003</c:v>
                </c:pt>
                <c:pt idx="14">
                  <c:v>16.176900000000003</c:v>
                </c:pt>
                <c:pt idx="15">
                  <c:v>16.176900000000003</c:v>
                </c:pt>
                <c:pt idx="16">
                  <c:v>16.176900000000003</c:v>
                </c:pt>
                <c:pt idx="17">
                  <c:v>16.176900000000003</c:v>
                </c:pt>
                <c:pt idx="18">
                  <c:v>16.176900000000003</c:v>
                </c:pt>
                <c:pt idx="19">
                  <c:v>16.176900000000003</c:v>
                </c:pt>
                <c:pt idx="20">
                  <c:v>16.176900000000003</c:v>
                </c:pt>
                <c:pt idx="21">
                  <c:v>16.176900000000003</c:v>
                </c:pt>
                <c:pt idx="22">
                  <c:v>16.176900000000003</c:v>
                </c:pt>
                <c:pt idx="23">
                  <c:v>16.176900000000003</c:v>
                </c:pt>
                <c:pt idx="24">
                  <c:v>16.176900000000003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BC-43EB-98FE-76C03C6C60D4}"/>
            </c:ext>
          </c:extLst>
        </c:ser>
        <c:ser>
          <c:idx val="3"/>
          <c:order val="3"/>
          <c:tx>
            <c:strRef>
              <c:f>'X-Bar &amp; R Control Chart (2)'!$K$4</c:f>
              <c:strCache>
                <c:ptCount val="1"/>
                <c:pt idx="0">
                  <c:v>LCL-1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(2)'!$K$5:$K$29</c:f>
              <c:numCache>
                <c:formatCode>0.00</c:formatCode>
                <c:ptCount val="25"/>
                <c:pt idx="0">
                  <c:v>15.756900000000002</c:v>
                </c:pt>
                <c:pt idx="1">
                  <c:v>15.756900000000002</c:v>
                </c:pt>
                <c:pt idx="2">
                  <c:v>15.756900000000002</c:v>
                </c:pt>
                <c:pt idx="3">
                  <c:v>15.756900000000002</c:v>
                </c:pt>
                <c:pt idx="4">
                  <c:v>15.756900000000002</c:v>
                </c:pt>
                <c:pt idx="5">
                  <c:v>15.756900000000002</c:v>
                </c:pt>
                <c:pt idx="6">
                  <c:v>15.756900000000002</c:v>
                </c:pt>
                <c:pt idx="7">
                  <c:v>15.756900000000002</c:v>
                </c:pt>
                <c:pt idx="8">
                  <c:v>15.756900000000002</c:v>
                </c:pt>
                <c:pt idx="9">
                  <c:v>15.756900000000002</c:v>
                </c:pt>
                <c:pt idx="10">
                  <c:v>15.756900000000002</c:v>
                </c:pt>
                <c:pt idx="11">
                  <c:v>15.756900000000002</c:v>
                </c:pt>
                <c:pt idx="12">
                  <c:v>15.756900000000002</c:v>
                </c:pt>
                <c:pt idx="13">
                  <c:v>15.756900000000002</c:v>
                </c:pt>
                <c:pt idx="14">
                  <c:v>15.756900000000002</c:v>
                </c:pt>
                <c:pt idx="15">
                  <c:v>15.756900000000002</c:v>
                </c:pt>
                <c:pt idx="16">
                  <c:v>15.756900000000002</c:v>
                </c:pt>
                <c:pt idx="17">
                  <c:v>15.756900000000002</c:v>
                </c:pt>
                <c:pt idx="18">
                  <c:v>15.756900000000002</c:v>
                </c:pt>
                <c:pt idx="19">
                  <c:v>15.756900000000002</c:v>
                </c:pt>
                <c:pt idx="20">
                  <c:v>15.756900000000002</c:v>
                </c:pt>
                <c:pt idx="21">
                  <c:v>15.756900000000002</c:v>
                </c:pt>
                <c:pt idx="22">
                  <c:v>15.756900000000002</c:v>
                </c:pt>
                <c:pt idx="23">
                  <c:v>15.756900000000002</c:v>
                </c:pt>
                <c:pt idx="24">
                  <c:v>15.756900000000002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BC-43EB-98FE-76C03C6C6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9564592"/>
        <c:axId val="1879573712"/>
      </c:lineChart>
      <c:catAx>
        <c:axId val="1879564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573712"/>
        <c:crosses val="autoZero"/>
        <c:auto val="1"/>
        <c:lblAlgn val="ctr"/>
        <c:lblOffset val="100"/>
        <c:noMultiLvlLbl val="0"/>
      </c:catAx>
      <c:valAx>
        <c:axId val="187957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56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X-Bar Control Chart-2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'X-Bar &amp; R Control Chart (2)'!$G$4</c:f>
              <c:strCache>
                <c:ptCount val="1"/>
                <c:pt idx="0">
                  <c:v>Average (x-bar)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(2)'!$G$5:$G$29</c:f>
              <c:numCache>
                <c:formatCode>0.00</c:formatCode>
                <c:ptCount val="25"/>
                <c:pt idx="0">
                  <c:v>15.907499999999999</c:v>
                </c:pt>
                <c:pt idx="1">
                  <c:v>15.995000000000001</c:v>
                </c:pt>
                <c:pt idx="2">
                  <c:v>15.92</c:v>
                </c:pt>
                <c:pt idx="3">
                  <c:v>16.43</c:v>
                </c:pt>
                <c:pt idx="4">
                  <c:v>15.977500000000001</c:v>
                </c:pt>
                <c:pt idx="5">
                  <c:v>16.03</c:v>
                </c:pt>
                <c:pt idx="6">
                  <c:v>15.9575</c:v>
                </c:pt>
                <c:pt idx="7">
                  <c:v>15.93</c:v>
                </c:pt>
                <c:pt idx="8">
                  <c:v>15.9575</c:v>
                </c:pt>
                <c:pt idx="9">
                  <c:v>15.8325</c:v>
                </c:pt>
                <c:pt idx="10">
                  <c:v>15.985000000000001</c:v>
                </c:pt>
                <c:pt idx="11">
                  <c:v>15.959999999999999</c:v>
                </c:pt>
                <c:pt idx="12">
                  <c:v>15.8325</c:v>
                </c:pt>
                <c:pt idx="13">
                  <c:v>15.907500000000001</c:v>
                </c:pt>
                <c:pt idx="14">
                  <c:v>16.05</c:v>
                </c:pt>
                <c:pt idx="15">
                  <c:v>15.9925</c:v>
                </c:pt>
                <c:pt idx="16">
                  <c:v>15.8575</c:v>
                </c:pt>
                <c:pt idx="17">
                  <c:v>16.012499999999999</c:v>
                </c:pt>
                <c:pt idx="18">
                  <c:v>15.982500000000002</c:v>
                </c:pt>
                <c:pt idx="19">
                  <c:v>16.015000000000001</c:v>
                </c:pt>
                <c:pt idx="20">
                  <c:v>16.002499999999998</c:v>
                </c:pt>
                <c:pt idx="21">
                  <c:v>15.895</c:v>
                </c:pt>
                <c:pt idx="22">
                  <c:v>15.860000000000001</c:v>
                </c:pt>
                <c:pt idx="23">
                  <c:v>15.942500000000001</c:v>
                </c:pt>
                <c:pt idx="24">
                  <c:v>15.940000000000001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DA-4884-A8D6-2EF9C0C778C1}"/>
            </c:ext>
          </c:extLst>
        </c:ser>
        <c:ser>
          <c:idx val="1"/>
          <c:order val="1"/>
          <c:tx>
            <c:strRef>
              <c:f>'X-Bar &amp; R Control Chart (2)'!$I$4</c:f>
              <c:strCache>
                <c:ptCount val="1"/>
                <c:pt idx="0">
                  <c:v>CL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(2)'!$I$5:$I$29</c:f>
              <c:numCache>
                <c:formatCode>0.00</c:formatCode>
                <c:ptCount val="25"/>
                <c:pt idx="0">
                  <c:v>15.966900000000003</c:v>
                </c:pt>
                <c:pt idx="1">
                  <c:v>15.966900000000003</c:v>
                </c:pt>
                <c:pt idx="2">
                  <c:v>15.966900000000003</c:v>
                </c:pt>
                <c:pt idx="3">
                  <c:v>15.966900000000003</c:v>
                </c:pt>
                <c:pt idx="4">
                  <c:v>15.966900000000003</c:v>
                </c:pt>
                <c:pt idx="5">
                  <c:v>15.966900000000003</c:v>
                </c:pt>
                <c:pt idx="6">
                  <c:v>15.966900000000003</c:v>
                </c:pt>
                <c:pt idx="7">
                  <c:v>15.966900000000003</c:v>
                </c:pt>
                <c:pt idx="8">
                  <c:v>15.966900000000003</c:v>
                </c:pt>
                <c:pt idx="9">
                  <c:v>15.966900000000003</c:v>
                </c:pt>
                <c:pt idx="10">
                  <c:v>15.966900000000003</c:v>
                </c:pt>
                <c:pt idx="11">
                  <c:v>15.966900000000003</c:v>
                </c:pt>
                <c:pt idx="12">
                  <c:v>15.966900000000003</c:v>
                </c:pt>
                <c:pt idx="13">
                  <c:v>15.966900000000003</c:v>
                </c:pt>
                <c:pt idx="14">
                  <c:v>15.966900000000003</c:v>
                </c:pt>
                <c:pt idx="15">
                  <c:v>15.966900000000003</c:v>
                </c:pt>
                <c:pt idx="16">
                  <c:v>15.966900000000003</c:v>
                </c:pt>
                <c:pt idx="17">
                  <c:v>15.966900000000003</c:v>
                </c:pt>
                <c:pt idx="18">
                  <c:v>15.966900000000003</c:v>
                </c:pt>
                <c:pt idx="19">
                  <c:v>15.966900000000003</c:v>
                </c:pt>
                <c:pt idx="20">
                  <c:v>15.966900000000003</c:v>
                </c:pt>
                <c:pt idx="21">
                  <c:v>15.966900000000003</c:v>
                </c:pt>
                <c:pt idx="22">
                  <c:v>15.966900000000003</c:v>
                </c:pt>
                <c:pt idx="23">
                  <c:v>15.966900000000003</c:v>
                </c:pt>
                <c:pt idx="24">
                  <c:v>15.966900000000003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DA-4884-A8D6-2EF9C0C778C1}"/>
            </c:ext>
          </c:extLst>
        </c:ser>
        <c:ser>
          <c:idx val="2"/>
          <c:order val="2"/>
          <c:tx>
            <c:strRef>
              <c:f>'X-Bar &amp; R Control Chart (2)'!$L$4</c:f>
              <c:strCache>
                <c:ptCount val="1"/>
                <c:pt idx="0">
                  <c:v>UCL-2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(2)'!$L$5:$L$29</c:f>
              <c:numCache>
                <c:formatCode>0.00</c:formatCode>
                <c:ptCount val="25"/>
                <c:pt idx="0">
                  <c:v>16.196120000000004</c:v>
                </c:pt>
                <c:pt idx="1">
                  <c:v>16.196120000000004</c:v>
                </c:pt>
                <c:pt idx="2">
                  <c:v>16.196120000000004</c:v>
                </c:pt>
                <c:pt idx="3">
                  <c:v>16.196120000000004</c:v>
                </c:pt>
                <c:pt idx="4">
                  <c:v>16.196120000000004</c:v>
                </c:pt>
                <c:pt idx="5">
                  <c:v>16.196120000000004</c:v>
                </c:pt>
                <c:pt idx="6">
                  <c:v>16.196120000000004</c:v>
                </c:pt>
                <c:pt idx="7">
                  <c:v>16.196120000000004</c:v>
                </c:pt>
                <c:pt idx="8">
                  <c:v>16.196120000000004</c:v>
                </c:pt>
                <c:pt idx="9">
                  <c:v>16.196120000000004</c:v>
                </c:pt>
                <c:pt idx="10">
                  <c:v>16.196120000000004</c:v>
                </c:pt>
                <c:pt idx="11">
                  <c:v>16.196120000000004</c:v>
                </c:pt>
                <c:pt idx="12">
                  <c:v>16.196120000000004</c:v>
                </c:pt>
                <c:pt idx="13">
                  <c:v>16.196120000000004</c:v>
                </c:pt>
                <c:pt idx="14">
                  <c:v>16.196120000000004</c:v>
                </c:pt>
                <c:pt idx="15">
                  <c:v>16.196120000000004</c:v>
                </c:pt>
                <c:pt idx="16">
                  <c:v>16.196120000000004</c:v>
                </c:pt>
                <c:pt idx="17">
                  <c:v>16.196120000000004</c:v>
                </c:pt>
                <c:pt idx="18">
                  <c:v>16.196120000000004</c:v>
                </c:pt>
                <c:pt idx="19">
                  <c:v>16.196120000000004</c:v>
                </c:pt>
                <c:pt idx="20">
                  <c:v>16.196120000000004</c:v>
                </c:pt>
                <c:pt idx="21">
                  <c:v>16.196120000000004</c:v>
                </c:pt>
                <c:pt idx="22">
                  <c:v>16.196120000000004</c:v>
                </c:pt>
                <c:pt idx="23">
                  <c:v>16.196120000000004</c:v>
                </c:pt>
                <c:pt idx="24">
                  <c:v>16.196120000000004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DA-4884-A8D6-2EF9C0C778C1}"/>
            </c:ext>
          </c:extLst>
        </c:ser>
        <c:ser>
          <c:idx val="3"/>
          <c:order val="3"/>
          <c:tx>
            <c:strRef>
              <c:f>'X-Bar &amp; R Control Chart (2)'!$M$4</c:f>
              <c:strCache>
                <c:ptCount val="1"/>
                <c:pt idx="0">
                  <c:v>LCL-2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(2)'!$M$5:$M$29</c:f>
              <c:numCache>
                <c:formatCode>0.00</c:formatCode>
                <c:ptCount val="25"/>
                <c:pt idx="0">
                  <c:v>15.737680000000003</c:v>
                </c:pt>
                <c:pt idx="1">
                  <c:v>15.737680000000003</c:v>
                </c:pt>
                <c:pt idx="2">
                  <c:v>15.737680000000003</c:v>
                </c:pt>
                <c:pt idx="3">
                  <c:v>15.737680000000003</c:v>
                </c:pt>
                <c:pt idx="4">
                  <c:v>15.737680000000003</c:v>
                </c:pt>
                <c:pt idx="5">
                  <c:v>15.737680000000003</c:v>
                </c:pt>
                <c:pt idx="6">
                  <c:v>15.737680000000003</c:v>
                </c:pt>
                <c:pt idx="7">
                  <c:v>15.737680000000003</c:v>
                </c:pt>
                <c:pt idx="8">
                  <c:v>15.737680000000003</c:v>
                </c:pt>
                <c:pt idx="9">
                  <c:v>15.737680000000003</c:v>
                </c:pt>
                <c:pt idx="10">
                  <c:v>15.737680000000003</c:v>
                </c:pt>
                <c:pt idx="11">
                  <c:v>15.737680000000003</c:v>
                </c:pt>
                <c:pt idx="12">
                  <c:v>15.737680000000003</c:v>
                </c:pt>
                <c:pt idx="13">
                  <c:v>15.737680000000003</c:v>
                </c:pt>
                <c:pt idx="14">
                  <c:v>15.737680000000003</c:v>
                </c:pt>
                <c:pt idx="15">
                  <c:v>15.737680000000003</c:v>
                </c:pt>
                <c:pt idx="16">
                  <c:v>15.737680000000003</c:v>
                </c:pt>
                <c:pt idx="17">
                  <c:v>15.737680000000003</c:v>
                </c:pt>
                <c:pt idx="18">
                  <c:v>15.737680000000003</c:v>
                </c:pt>
                <c:pt idx="19">
                  <c:v>15.737680000000003</c:v>
                </c:pt>
                <c:pt idx="20">
                  <c:v>15.737680000000003</c:v>
                </c:pt>
                <c:pt idx="21">
                  <c:v>15.737680000000003</c:v>
                </c:pt>
                <c:pt idx="22">
                  <c:v>15.737680000000003</c:v>
                </c:pt>
                <c:pt idx="23">
                  <c:v>15.737680000000003</c:v>
                </c:pt>
                <c:pt idx="24">
                  <c:v>15.737680000000003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DA-4884-A8D6-2EF9C0C77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152896"/>
        <c:axId val="1588149056"/>
      </c:lineChart>
      <c:catAx>
        <c:axId val="1588152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49056"/>
        <c:crosses val="autoZero"/>
        <c:auto val="1"/>
        <c:lblAlgn val="ctr"/>
        <c:lblOffset val="100"/>
        <c:noMultiLvlLbl val="0"/>
      </c:catAx>
      <c:valAx>
        <c:axId val="158814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5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R-Bar Control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'X-Bar &amp; R Control Chart (2)'!$H$4</c:f>
              <c:strCache>
                <c:ptCount val="1"/>
                <c:pt idx="0">
                  <c:v>Range (R)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(2)'!$H$5:$H$29</c:f>
              <c:numCache>
                <c:formatCode>0.00</c:formatCode>
                <c:ptCount val="25"/>
                <c:pt idx="0">
                  <c:v>0.1899999999999995</c:v>
                </c:pt>
                <c:pt idx="1">
                  <c:v>0.27000000000000135</c:v>
                </c:pt>
                <c:pt idx="2">
                  <c:v>0.16999999999999993</c:v>
                </c:pt>
                <c:pt idx="3">
                  <c:v>0.4599999999999973</c:v>
                </c:pt>
                <c:pt idx="4">
                  <c:v>0.47000000000000064</c:v>
                </c:pt>
                <c:pt idx="5">
                  <c:v>0.20000000000000107</c:v>
                </c:pt>
                <c:pt idx="6">
                  <c:v>0.46000000000000085</c:v>
                </c:pt>
                <c:pt idx="7">
                  <c:v>0.88000000000000078</c:v>
                </c:pt>
                <c:pt idx="8">
                  <c:v>0.20999999999999908</c:v>
                </c:pt>
                <c:pt idx="9">
                  <c:v>0.29999999999999893</c:v>
                </c:pt>
                <c:pt idx="10">
                  <c:v>0.28999999999999915</c:v>
                </c:pt>
                <c:pt idx="11">
                  <c:v>0.42999999999999794</c:v>
                </c:pt>
                <c:pt idx="12">
                  <c:v>0.24000000000000021</c:v>
                </c:pt>
                <c:pt idx="13">
                  <c:v>0.37000000000000099</c:v>
                </c:pt>
                <c:pt idx="14">
                  <c:v>0.30999999999999872</c:v>
                </c:pt>
                <c:pt idx="15">
                  <c:v>0.29000000000000092</c:v>
                </c:pt>
                <c:pt idx="16">
                  <c:v>0.33000000000000185</c:v>
                </c:pt>
                <c:pt idx="17">
                  <c:v>0.34000000000000163</c:v>
                </c:pt>
                <c:pt idx="18">
                  <c:v>0.28000000000000114</c:v>
                </c:pt>
                <c:pt idx="19">
                  <c:v>0.20000000000000107</c:v>
                </c:pt>
                <c:pt idx="20">
                  <c:v>0.22999999999999865</c:v>
                </c:pt>
                <c:pt idx="21">
                  <c:v>0.16000000000000014</c:v>
                </c:pt>
                <c:pt idx="22">
                  <c:v>0.32000000000000028</c:v>
                </c:pt>
                <c:pt idx="23">
                  <c:v>0.15000000000000213</c:v>
                </c:pt>
                <c:pt idx="24">
                  <c:v>0.29999999999999893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1A-41AB-B001-CA73D407D7C3}"/>
            </c:ext>
          </c:extLst>
        </c:ser>
        <c:ser>
          <c:idx val="1"/>
          <c:order val="1"/>
          <c:tx>
            <c:strRef>
              <c:f>'X-Bar &amp; R Control Chart (2)'!$N$4</c:f>
              <c:strCache>
                <c:ptCount val="1"/>
                <c:pt idx="0">
                  <c:v>R-Bar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(2)'!$N$5:$N$29</c:f>
              <c:numCache>
                <c:formatCode>0.00</c:formatCode>
                <c:ptCount val="25"/>
                <c:pt idx="0">
                  <c:v>0.31400000000000011</c:v>
                </c:pt>
                <c:pt idx="1">
                  <c:v>0.31400000000000011</c:v>
                </c:pt>
                <c:pt idx="2">
                  <c:v>0.31400000000000011</c:v>
                </c:pt>
                <c:pt idx="3">
                  <c:v>0.31400000000000011</c:v>
                </c:pt>
                <c:pt idx="4">
                  <c:v>0.31400000000000011</c:v>
                </c:pt>
                <c:pt idx="5">
                  <c:v>0.31400000000000011</c:v>
                </c:pt>
                <c:pt idx="6">
                  <c:v>0.31400000000000011</c:v>
                </c:pt>
                <c:pt idx="7">
                  <c:v>0.31400000000000011</c:v>
                </c:pt>
                <c:pt idx="8">
                  <c:v>0.31400000000000011</c:v>
                </c:pt>
                <c:pt idx="9">
                  <c:v>0.31400000000000011</c:v>
                </c:pt>
                <c:pt idx="10">
                  <c:v>0.31400000000000011</c:v>
                </c:pt>
                <c:pt idx="11">
                  <c:v>0.31400000000000011</c:v>
                </c:pt>
                <c:pt idx="12">
                  <c:v>0.31400000000000011</c:v>
                </c:pt>
                <c:pt idx="13">
                  <c:v>0.31400000000000011</c:v>
                </c:pt>
                <c:pt idx="14">
                  <c:v>0.31400000000000011</c:v>
                </c:pt>
                <c:pt idx="15">
                  <c:v>0.31400000000000011</c:v>
                </c:pt>
                <c:pt idx="16">
                  <c:v>0.31400000000000011</c:v>
                </c:pt>
                <c:pt idx="17">
                  <c:v>0.31400000000000011</c:v>
                </c:pt>
                <c:pt idx="18">
                  <c:v>0.31400000000000011</c:v>
                </c:pt>
                <c:pt idx="19">
                  <c:v>0.31400000000000011</c:v>
                </c:pt>
                <c:pt idx="20">
                  <c:v>0.31400000000000011</c:v>
                </c:pt>
                <c:pt idx="21">
                  <c:v>0.31400000000000011</c:v>
                </c:pt>
                <c:pt idx="22">
                  <c:v>0.31400000000000011</c:v>
                </c:pt>
                <c:pt idx="23">
                  <c:v>0.31400000000000011</c:v>
                </c:pt>
                <c:pt idx="24">
                  <c:v>0.31400000000000011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1A-41AB-B001-CA73D407D7C3}"/>
            </c:ext>
          </c:extLst>
        </c:ser>
        <c:ser>
          <c:idx val="2"/>
          <c:order val="2"/>
          <c:tx>
            <c:strRef>
              <c:f>'X-Bar &amp; R Control Chart (2)'!$O$4</c:f>
              <c:strCache>
                <c:ptCount val="1"/>
                <c:pt idx="0">
                  <c:v>UCL-R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(2)'!$O$5:$O$29</c:f>
              <c:numCache>
                <c:formatCode>0.00</c:formatCode>
                <c:ptCount val="25"/>
                <c:pt idx="0">
                  <c:v>0.71592000000000022</c:v>
                </c:pt>
                <c:pt idx="1">
                  <c:v>0.71592000000000022</c:v>
                </c:pt>
                <c:pt idx="2">
                  <c:v>0.71592000000000022</c:v>
                </c:pt>
                <c:pt idx="3">
                  <c:v>0.71592000000000022</c:v>
                </c:pt>
                <c:pt idx="4">
                  <c:v>0.71592000000000022</c:v>
                </c:pt>
                <c:pt idx="5">
                  <c:v>0.71592000000000022</c:v>
                </c:pt>
                <c:pt idx="6">
                  <c:v>0.71592000000000022</c:v>
                </c:pt>
                <c:pt idx="7">
                  <c:v>0.71592000000000022</c:v>
                </c:pt>
                <c:pt idx="8">
                  <c:v>0.71592000000000022</c:v>
                </c:pt>
                <c:pt idx="9">
                  <c:v>0.71592000000000022</c:v>
                </c:pt>
                <c:pt idx="10">
                  <c:v>0.71592000000000022</c:v>
                </c:pt>
                <c:pt idx="11">
                  <c:v>0.71592000000000022</c:v>
                </c:pt>
                <c:pt idx="12">
                  <c:v>0.71592000000000022</c:v>
                </c:pt>
                <c:pt idx="13">
                  <c:v>0.71592000000000022</c:v>
                </c:pt>
                <c:pt idx="14">
                  <c:v>0.71592000000000022</c:v>
                </c:pt>
                <c:pt idx="15">
                  <c:v>0.71592000000000022</c:v>
                </c:pt>
                <c:pt idx="16">
                  <c:v>0.71592000000000022</c:v>
                </c:pt>
                <c:pt idx="17">
                  <c:v>0.71592000000000022</c:v>
                </c:pt>
                <c:pt idx="18">
                  <c:v>0.71592000000000022</c:v>
                </c:pt>
                <c:pt idx="19">
                  <c:v>0.71592000000000022</c:v>
                </c:pt>
                <c:pt idx="20">
                  <c:v>0.71592000000000022</c:v>
                </c:pt>
                <c:pt idx="21">
                  <c:v>0.71592000000000022</c:v>
                </c:pt>
                <c:pt idx="22">
                  <c:v>0.71592000000000022</c:v>
                </c:pt>
                <c:pt idx="23">
                  <c:v>0.71592000000000022</c:v>
                </c:pt>
                <c:pt idx="24">
                  <c:v>0.71592000000000022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1A-41AB-B001-CA73D407D7C3}"/>
            </c:ext>
          </c:extLst>
        </c:ser>
        <c:ser>
          <c:idx val="3"/>
          <c:order val="3"/>
          <c:tx>
            <c:strRef>
              <c:f>'X-Bar &amp; R Control Chart (2)'!$P$4</c:f>
              <c:strCache>
                <c:ptCount val="1"/>
                <c:pt idx="0">
                  <c:v>LCL-R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(2)'!$P$5:$P$29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1A-41AB-B001-CA73D407D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138832"/>
        <c:axId val="1588141232"/>
      </c:lineChart>
      <c:catAx>
        <c:axId val="1588138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41232"/>
        <c:crosses val="autoZero"/>
        <c:auto val="1"/>
        <c:lblAlgn val="ctr"/>
        <c:lblOffset val="100"/>
        <c:noMultiLvlLbl val="0"/>
      </c:catAx>
      <c:valAx>
        <c:axId val="158814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3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 Control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 Chart'!$E$3</c:f>
              <c:strCache>
                <c:ptCount val="1"/>
                <c:pt idx="0">
                  <c:v>CL = p-bar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 Chart'!$E$4:$E$23</c:f>
              <c:numCache>
                <c:formatCode>0.00</c:formatCode>
                <c:ptCount val="2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AF-4788-BDD6-23544DE7E6D4}"/>
            </c:ext>
          </c:extLst>
        </c:ser>
        <c:ser>
          <c:idx val="2"/>
          <c:order val="1"/>
          <c:tx>
            <c:strRef>
              <c:f>'P Chart'!$F$3</c:f>
              <c:strCache>
                <c:ptCount val="1"/>
                <c:pt idx="0">
                  <c:v>UCL-P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 Chart'!$F$4:$F$23</c:f>
              <c:numCache>
                <c:formatCode>General</c:formatCode>
                <c:ptCount val="20"/>
                <c:pt idx="0">
                  <c:v>0.30124611797498113</c:v>
                </c:pt>
                <c:pt idx="1">
                  <c:v>0.30124611797498113</c:v>
                </c:pt>
                <c:pt idx="2">
                  <c:v>0.30124611797498113</c:v>
                </c:pt>
                <c:pt idx="3">
                  <c:v>0.30124611797498113</c:v>
                </c:pt>
                <c:pt idx="4">
                  <c:v>0.30124611797498113</c:v>
                </c:pt>
                <c:pt idx="5">
                  <c:v>0.30124611797498113</c:v>
                </c:pt>
                <c:pt idx="6">
                  <c:v>0.30124611797498113</c:v>
                </c:pt>
                <c:pt idx="7">
                  <c:v>0.30124611797498113</c:v>
                </c:pt>
                <c:pt idx="8">
                  <c:v>0.30124611797498113</c:v>
                </c:pt>
                <c:pt idx="9">
                  <c:v>0.30124611797498113</c:v>
                </c:pt>
                <c:pt idx="10">
                  <c:v>0.30124611797498113</c:v>
                </c:pt>
                <c:pt idx="11">
                  <c:v>0.30124611797498113</c:v>
                </c:pt>
                <c:pt idx="12">
                  <c:v>0.30124611797498113</c:v>
                </c:pt>
                <c:pt idx="13">
                  <c:v>0.30124611797498113</c:v>
                </c:pt>
                <c:pt idx="14">
                  <c:v>0.30124611797498113</c:v>
                </c:pt>
                <c:pt idx="15">
                  <c:v>0.30124611797498113</c:v>
                </c:pt>
                <c:pt idx="16">
                  <c:v>0.30124611797498113</c:v>
                </c:pt>
                <c:pt idx="17">
                  <c:v>0.30124611797498113</c:v>
                </c:pt>
                <c:pt idx="18">
                  <c:v>0.30124611797498113</c:v>
                </c:pt>
                <c:pt idx="19">
                  <c:v>0.30124611797498113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AF-4788-BDD6-23544DE7E6D4}"/>
            </c:ext>
          </c:extLst>
        </c:ser>
        <c:ser>
          <c:idx val="3"/>
          <c:order val="2"/>
          <c:tx>
            <c:strRef>
              <c:f>'P Chart'!$G$3</c:f>
              <c:strCache>
                <c:ptCount val="1"/>
                <c:pt idx="0">
                  <c:v>LCL-P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'P Chart'!$G$4:$G$23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AF-4788-BDD6-23544DE7E6D4}"/>
            </c:ext>
          </c:extLst>
        </c:ser>
        <c:ser>
          <c:idx val="0"/>
          <c:order val="3"/>
          <c:tx>
            <c:strRef>
              <c:f>'P Chart'!$D$3</c:f>
              <c:strCache>
                <c:ptCount val="1"/>
                <c:pt idx="0">
                  <c:v>Fraction Defective (p)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 Chart'!$D$4:$D$23</c:f>
              <c:numCache>
                <c:formatCode>0.00</c:formatCode>
                <c:ptCount val="20"/>
                <c:pt idx="0">
                  <c:v>0.15</c:v>
                </c:pt>
                <c:pt idx="1">
                  <c:v>0.1</c:v>
                </c:pt>
                <c:pt idx="2">
                  <c:v>0.05</c:v>
                </c:pt>
                <c:pt idx="3">
                  <c:v>0.1</c:v>
                </c:pt>
                <c:pt idx="4">
                  <c:v>0.05</c:v>
                </c:pt>
                <c:pt idx="5">
                  <c:v>0.15</c:v>
                </c:pt>
                <c:pt idx="6">
                  <c:v>0.15</c:v>
                </c:pt>
                <c:pt idx="7">
                  <c:v>0.1</c:v>
                </c:pt>
                <c:pt idx="8">
                  <c:v>0.05</c:v>
                </c:pt>
                <c:pt idx="9">
                  <c:v>0.1</c:v>
                </c:pt>
                <c:pt idx="10">
                  <c:v>0.15</c:v>
                </c:pt>
                <c:pt idx="11">
                  <c:v>0.1</c:v>
                </c:pt>
                <c:pt idx="12">
                  <c:v>0.1</c:v>
                </c:pt>
                <c:pt idx="13">
                  <c:v>0.05</c:v>
                </c:pt>
                <c:pt idx="14">
                  <c:v>0.05</c:v>
                </c:pt>
                <c:pt idx="15">
                  <c:v>0.1</c:v>
                </c:pt>
                <c:pt idx="16">
                  <c:v>0.2</c:v>
                </c:pt>
                <c:pt idx="17">
                  <c:v>0.15</c:v>
                </c:pt>
                <c:pt idx="18">
                  <c:v>0.05</c:v>
                </c:pt>
                <c:pt idx="19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AF-4788-BDD6-23544DE7E6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129712"/>
        <c:axId val="1588123472"/>
      </c:lineChart>
      <c:catAx>
        <c:axId val="1588129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23472"/>
        <c:crosses val="autoZero"/>
        <c:auto val="1"/>
        <c:lblAlgn val="ctr"/>
        <c:lblOffset val="100"/>
        <c:noMultiLvlLbl val="0"/>
      </c:catAx>
      <c:valAx>
        <c:axId val="158812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2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 Control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 Chart'!$D$3</c:f>
              <c:strCache>
                <c:ptCount val="1"/>
                <c:pt idx="0">
                  <c:v>CL-c-bar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 Chart'!$D$4:$D$23</c:f>
              <c:numCache>
                <c:formatCode>General</c:formatCode>
                <c:ptCount val="20"/>
                <c:pt idx="0">
                  <c:v>2.2000000000000002</c:v>
                </c:pt>
                <c:pt idx="1">
                  <c:v>2.2000000000000002</c:v>
                </c:pt>
                <c:pt idx="2">
                  <c:v>2.2000000000000002</c:v>
                </c:pt>
                <c:pt idx="3">
                  <c:v>2.2000000000000002</c:v>
                </c:pt>
                <c:pt idx="4">
                  <c:v>2.2000000000000002</c:v>
                </c:pt>
                <c:pt idx="5">
                  <c:v>2.2000000000000002</c:v>
                </c:pt>
                <c:pt idx="6">
                  <c:v>2.2000000000000002</c:v>
                </c:pt>
                <c:pt idx="7">
                  <c:v>2.2000000000000002</c:v>
                </c:pt>
                <c:pt idx="8">
                  <c:v>2.2000000000000002</c:v>
                </c:pt>
                <c:pt idx="9">
                  <c:v>2.2000000000000002</c:v>
                </c:pt>
                <c:pt idx="10">
                  <c:v>2.2000000000000002</c:v>
                </c:pt>
                <c:pt idx="11">
                  <c:v>2.2000000000000002</c:v>
                </c:pt>
                <c:pt idx="12">
                  <c:v>2.2000000000000002</c:v>
                </c:pt>
                <c:pt idx="13">
                  <c:v>2.2000000000000002</c:v>
                </c:pt>
                <c:pt idx="14">
                  <c:v>2.2000000000000002</c:v>
                </c:pt>
                <c:pt idx="15">
                  <c:v>2.2000000000000002</c:v>
                </c:pt>
                <c:pt idx="16">
                  <c:v>2.2000000000000002</c:v>
                </c:pt>
                <c:pt idx="17">
                  <c:v>2.2000000000000002</c:v>
                </c:pt>
                <c:pt idx="18">
                  <c:v>2.2000000000000002</c:v>
                </c:pt>
                <c:pt idx="19">
                  <c:v>2.2000000000000002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9D-44E4-A0E8-CF8521787742}"/>
            </c:ext>
          </c:extLst>
        </c:ser>
        <c:ser>
          <c:idx val="2"/>
          <c:order val="1"/>
          <c:tx>
            <c:strRef>
              <c:f>'C Chart'!$E$3</c:f>
              <c:strCache>
                <c:ptCount val="1"/>
                <c:pt idx="0">
                  <c:v>UCL-c-Bar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 Chart'!$E$4:$E$23</c:f>
              <c:numCache>
                <c:formatCode>General</c:formatCode>
                <c:ptCount val="20"/>
                <c:pt idx="0">
                  <c:v>6.6497190922573983</c:v>
                </c:pt>
                <c:pt idx="1">
                  <c:v>6.6497190922573983</c:v>
                </c:pt>
                <c:pt idx="2">
                  <c:v>6.6497190922573983</c:v>
                </c:pt>
                <c:pt idx="3">
                  <c:v>6.6497190922573983</c:v>
                </c:pt>
                <c:pt idx="4">
                  <c:v>6.6497190922573983</c:v>
                </c:pt>
                <c:pt idx="5">
                  <c:v>6.6497190922573983</c:v>
                </c:pt>
                <c:pt idx="6">
                  <c:v>6.6497190922573983</c:v>
                </c:pt>
                <c:pt idx="7">
                  <c:v>6.6497190922573983</c:v>
                </c:pt>
                <c:pt idx="8">
                  <c:v>6.6497190922573983</c:v>
                </c:pt>
                <c:pt idx="9">
                  <c:v>6.6497190922573983</c:v>
                </c:pt>
                <c:pt idx="10">
                  <c:v>6.6497190922573983</c:v>
                </c:pt>
                <c:pt idx="11">
                  <c:v>6.6497190922573983</c:v>
                </c:pt>
                <c:pt idx="12">
                  <c:v>6.6497190922573983</c:v>
                </c:pt>
                <c:pt idx="13">
                  <c:v>6.6497190922573983</c:v>
                </c:pt>
                <c:pt idx="14">
                  <c:v>6.6497190922573983</c:v>
                </c:pt>
                <c:pt idx="15">
                  <c:v>6.6497190922573983</c:v>
                </c:pt>
                <c:pt idx="16">
                  <c:v>6.6497190922573983</c:v>
                </c:pt>
                <c:pt idx="17">
                  <c:v>6.6497190922573983</c:v>
                </c:pt>
                <c:pt idx="18">
                  <c:v>6.6497190922573983</c:v>
                </c:pt>
                <c:pt idx="19">
                  <c:v>6.6497190922573983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9D-44E4-A0E8-CF8521787742}"/>
            </c:ext>
          </c:extLst>
        </c:ser>
        <c:ser>
          <c:idx val="3"/>
          <c:order val="2"/>
          <c:tx>
            <c:strRef>
              <c:f>'C Chart'!$F$3</c:f>
              <c:strCache>
                <c:ptCount val="1"/>
                <c:pt idx="0">
                  <c:v>UCL-c-Bar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'C Chart'!$F$4:$F$23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9D-44E4-A0E8-CF8521787742}"/>
            </c:ext>
          </c:extLst>
        </c:ser>
        <c:ser>
          <c:idx val="0"/>
          <c:order val="3"/>
          <c:tx>
            <c:strRef>
              <c:f>'C Chart'!$C$3</c:f>
              <c:strCache>
                <c:ptCount val="1"/>
                <c:pt idx="0">
                  <c:v># Complaints (c)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 Chart'!$C$4:$C$23</c:f>
              <c:numCache>
                <c:formatCode>General</c:formatCode>
                <c:ptCount val="20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3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3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9D-44E4-A0E8-CF8521787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123952"/>
        <c:axId val="1588124432"/>
      </c:lineChart>
      <c:catAx>
        <c:axId val="1588123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24432"/>
        <c:crosses val="autoZero"/>
        <c:auto val="1"/>
        <c:lblAlgn val="ctr"/>
        <c:lblOffset val="100"/>
        <c:noMultiLvlLbl val="0"/>
      </c:catAx>
      <c:valAx>
        <c:axId val="158812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2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Bias Linnearity Using Scatter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'Bias Linearity'!$B$4:$B$8</c:f>
              <c:numCache>
                <c:formatCode>General</c:formatCode>
                <c:ptCount val="5"/>
                <c:pt idx="0">
                  <c:v>12</c:v>
                </c:pt>
                <c:pt idx="1">
                  <c:v>14</c:v>
                </c:pt>
                <c:pt idx="2">
                  <c:v>16</c:v>
                </c:pt>
                <c:pt idx="3">
                  <c:v>18</c:v>
                </c:pt>
                <c:pt idx="4">
                  <c:v>20</c:v>
                </c:pt>
              </c:numCache>
            </c:numRef>
          </c:xVal>
          <c:yVal>
            <c:numRef>
              <c:f>'Bias Linearity'!$D$4:$D$8</c:f>
              <c:numCache>
                <c:formatCode>0.00</c:formatCode>
                <c:ptCount val="5"/>
                <c:pt idx="0">
                  <c:v>-1.9999999999999574E-2</c:v>
                </c:pt>
                <c:pt idx="1">
                  <c:v>-9.9999999999997868E-3</c:v>
                </c:pt>
                <c:pt idx="2">
                  <c:v>0</c:v>
                </c:pt>
                <c:pt idx="3">
                  <c:v>1.0000000000001563E-2</c:v>
                </c:pt>
                <c:pt idx="4">
                  <c:v>1.9999999999999574E-2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3EA-4852-B560-BC8281C524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5414192"/>
        <c:axId val="1465416112"/>
      </c:scatterChart>
      <c:valAx>
        <c:axId val="1465414192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Reference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416112"/>
        <c:crosses val="autoZero"/>
        <c:crossBetween val="midCat"/>
      </c:valAx>
      <c:valAx>
        <c:axId val="146541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Bias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414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 Reference vs. Bias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8984120734908134"/>
                  <c:y val="-6.248578302712160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'Linearity-2'!$B$5:$B$14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'Linearity-2'!$H$5:$H$14</c:f>
              <c:numCache>
                <c:formatCode>0.000</c:formatCode>
                <c:ptCount val="10"/>
                <c:pt idx="0">
                  <c:v>-0.16600000000000037</c:v>
                </c:pt>
                <c:pt idx="1">
                  <c:v>-5.3999999999998494E-2</c:v>
                </c:pt>
                <c:pt idx="2">
                  <c:v>-1.6000000000001791E-2</c:v>
                </c:pt>
                <c:pt idx="3">
                  <c:v>-4.7999999999994714E-2</c:v>
                </c:pt>
                <c:pt idx="4">
                  <c:v>1.0000000000005116E-2</c:v>
                </c:pt>
                <c:pt idx="5">
                  <c:v>1.3999999999995794E-2</c:v>
                </c:pt>
                <c:pt idx="6">
                  <c:v>5.9999999999988063E-2</c:v>
                </c:pt>
                <c:pt idx="7">
                  <c:v>4.8000000000001819E-2</c:v>
                </c:pt>
                <c:pt idx="8">
                  <c:v>0.12399999999999523</c:v>
                </c:pt>
                <c:pt idx="9">
                  <c:v>0.1460000000000008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1A-4F2D-9DE7-811998516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59280"/>
        <c:axId val="171741040"/>
      </c:scatterChart>
      <c:valAx>
        <c:axId val="171759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Reference 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41040"/>
        <c:crosses val="autoZero"/>
        <c:crossBetween val="midCat"/>
      </c:valAx>
      <c:valAx>
        <c:axId val="17174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Bias (y)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59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gif"/><Relationship Id="rId2" Type="http://schemas.openxmlformats.org/officeDocument/2006/relationships/image" Target="../media/image3.gif"/><Relationship Id="rId1" Type="http://schemas.openxmlformats.org/officeDocument/2006/relationships/image" Target="../media/image2.gif"/><Relationship Id="rId4" Type="http://schemas.openxmlformats.org/officeDocument/2006/relationships/image" Target="../media/image5.gif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gif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gif"/><Relationship Id="rId1" Type="http://schemas.openxmlformats.org/officeDocument/2006/relationships/image" Target="../media/image11.gif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gif"/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gif"/><Relationship Id="rId2" Type="http://schemas.openxmlformats.org/officeDocument/2006/relationships/image" Target="../media/image15.gif"/><Relationship Id="rId1" Type="http://schemas.openxmlformats.org/officeDocument/2006/relationships/image" Target="../media/image14.gif"/><Relationship Id="rId5" Type="http://schemas.openxmlformats.org/officeDocument/2006/relationships/image" Target="../media/image18.gif"/><Relationship Id="rId4" Type="http://schemas.openxmlformats.org/officeDocument/2006/relationships/image" Target="../media/image17.gif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6.gif"/><Relationship Id="rId13" Type="http://schemas.openxmlformats.org/officeDocument/2006/relationships/image" Target="../media/image31.gif"/><Relationship Id="rId3" Type="http://schemas.openxmlformats.org/officeDocument/2006/relationships/image" Target="../media/image21.gif"/><Relationship Id="rId7" Type="http://schemas.openxmlformats.org/officeDocument/2006/relationships/image" Target="../media/image25.gif"/><Relationship Id="rId12" Type="http://schemas.openxmlformats.org/officeDocument/2006/relationships/image" Target="../media/image30.gif"/><Relationship Id="rId17" Type="http://schemas.openxmlformats.org/officeDocument/2006/relationships/image" Target="../media/image35.gif"/><Relationship Id="rId2" Type="http://schemas.openxmlformats.org/officeDocument/2006/relationships/image" Target="../media/image20.gif"/><Relationship Id="rId16" Type="http://schemas.openxmlformats.org/officeDocument/2006/relationships/image" Target="../media/image34.gif"/><Relationship Id="rId1" Type="http://schemas.openxmlformats.org/officeDocument/2006/relationships/image" Target="../media/image19.gif"/><Relationship Id="rId6" Type="http://schemas.openxmlformats.org/officeDocument/2006/relationships/image" Target="../media/image24.gif"/><Relationship Id="rId11" Type="http://schemas.openxmlformats.org/officeDocument/2006/relationships/image" Target="../media/image29.gif"/><Relationship Id="rId5" Type="http://schemas.openxmlformats.org/officeDocument/2006/relationships/image" Target="../media/image23.gif"/><Relationship Id="rId15" Type="http://schemas.openxmlformats.org/officeDocument/2006/relationships/image" Target="../media/image33.gif"/><Relationship Id="rId10" Type="http://schemas.openxmlformats.org/officeDocument/2006/relationships/image" Target="../media/image28.gif"/><Relationship Id="rId4" Type="http://schemas.openxmlformats.org/officeDocument/2006/relationships/image" Target="../media/image22.gif"/><Relationship Id="rId9" Type="http://schemas.openxmlformats.org/officeDocument/2006/relationships/image" Target="../media/image27.gif"/><Relationship Id="rId14" Type="http://schemas.openxmlformats.org/officeDocument/2006/relationships/image" Target="../media/image32.gif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image" Target="../media/image37.gif"/><Relationship Id="rId1" Type="http://schemas.openxmlformats.org/officeDocument/2006/relationships/image" Target="../media/image36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222250</xdr:colOff>
      <xdr:row>0</xdr:row>
      <xdr:rowOff>184150</xdr:rowOff>
    </xdr:from>
    <xdr:to>
      <xdr:col>13</xdr:col>
      <xdr:colOff>177755</xdr:colOff>
      <xdr:row>4</xdr:row>
      <xdr:rowOff>22385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8">
              <a:extLst>
                <a:ext uri="{FF2B5EF4-FFF2-40B4-BE49-F238E27FC236}">
                  <a16:creationId xmlns:a16="http://schemas.microsoft.com/office/drawing/2014/main" id="{E6C703E0-4495-716D-62E9-2078B31427FF}"/>
                </a:ext>
              </a:extLst>
            </xdr:cNvPr>
            <xdr:cNvSpPr txBox="1"/>
          </xdr:nvSpPr>
          <xdr:spPr>
            <a:xfrm>
              <a:off x="3879850" y="184150"/>
              <a:ext cx="3613105" cy="587535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𝑥𝑦</m:t>
                            </m:r>
                          </m:e>
                        </m:d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−(</m:t>
                        </m:r>
                        <m:r>
                          <a:rPr lang="en-US" sz="1600" i="1">
                            <a:latin typeface="Cambria Math" panose="02040503050406030204" pitchFamily="18" charset="0"/>
                          </a:rPr>
                          <m:t>∑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)(∑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[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d>
                              <m:d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1600" i="1">
                                    <a:latin typeface="Cambria Math" panose="02040503050406030204" pitchFamily="18" charset="0"/>
                                  </a:rPr>
                                  <m:t>∑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  <m:r>
                                  <a:rPr lang="en-US" sz="1600" b="0" i="1" baseline="30000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</m:d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d>
                              <m:d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1600" i="1">
                                    <a:latin typeface="Cambria Math" panose="02040503050406030204" pitchFamily="18" charset="0"/>
                                  </a:rPr>
                                  <m:t>∑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d>
                            <m:r>
                              <a:rPr lang="en-US" sz="1600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][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(∑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  <m:r>
                              <a:rPr lang="en-US" sz="1600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)−</m:t>
                            </m:r>
                            <m:d>
                              <m:d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1600" i="1">
                                    <a:latin typeface="Cambria Math" panose="02040503050406030204" pitchFamily="18" charset="0"/>
                                  </a:rPr>
                                  <m:t>∑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d>
                            <m:r>
                              <a:rPr lang="en-US" sz="1600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]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2" name="TextBox 8">
              <a:extLst>
                <a:ext uri="{FF2B5EF4-FFF2-40B4-BE49-F238E27FC236}">
                  <a16:creationId xmlns:a16="http://schemas.microsoft.com/office/drawing/2014/main" id="{E6C703E0-4495-716D-62E9-2078B31427FF}"/>
                </a:ext>
              </a:extLst>
            </xdr:cNvPr>
            <xdr:cNvSpPr txBox="1"/>
          </xdr:nvSpPr>
          <xdr:spPr>
            <a:xfrm>
              <a:off x="3879850" y="184150"/>
              <a:ext cx="3613105" cy="587535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600" b="0" i="0">
                  <a:latin typeface="Cambria Math" panose="02040503050406030204" pitchFamily="18" charset="0"/>
                </a:rPr>
                <a:t>𝑟=(𝑛(∑𝑥𝑦)−(</a:t>
              </a:r>
              <a:r>
                <a:rPr lang="en-US" sz="1600" i="0">
                  <a:latin typeface="Cambria Math" panose="02040503050406030204" pitchFamily="18" charset="0"/>
                </a:rPr>
                <a:t>∑</a:t>
              </a:r>
              <a:r>
                <a:rPr lang="en-US" sz="1600" b="0" i="0">
                  <a:latin typeface="Cambria Math" panose="02040503050406030204" pitchFamily="18" charset="0"/>
                </a:rPr>
                <a:t>𝑥)(∑𝑦))/√([𝑛(</a:t>
              </a:r>
              <a:r>
                <a:rPr lang="en-US" sz="1600" i="0">
                  <a:latin typeface="Cambria Math" panose="02040503050406030204" pitchFamily="18" charset="0"/>
                </a:rPr>
                <a:t>∑</a:t>
              </a:r>
              <a:r>
                <a:rPr lang="en-US" sz="1600" b="0" i="0">
                  <a:latin typeface="Cambria Math" panose="02040503050406030204" pitchFamily="18" charset="0"/>
                </a:rPr>
                <a:t>𝑥</a:t>
              </a:r>
              <a:r>
                <a:rPr lang="en-US" sz="1600" b="0" i="0" baseline="30000">
                  <a:latin typeface="Cambria Math" panose="02040503050406030204" pitchFamily="18" charset="0"/>
                </a:rPr>
                <a:t>2)</a:t>
              </a:r>
              <a:r>
                <a:rPr lang="en-US" sz="1600" b="0" i="0">
                  <a:latin typeface="Cambria Math" panose="02040503050406030204" pitchFamily="18" charset="0"/>
                </a:rPr>
                <a:t>−(</a:t>
              </a:r>
              <a:r>
                <a:rPr lang="en-US" sz="1600" i="0">
                  <a:latin typeface="Cambria Math" panose="02040503050406030204" pitchFamily="18" charset="0"/>
                </a:rPr>
                <a:t>∑</a:t>
              </a:r>
              <a:r>
                <a:rPr lang="en-US" sz="1600" b="0" i="0">
                  <a:latin typeface="Cambria Math" panose="02040503050406030204" pitchFamily="18" charset="0"/>
                </a:rPr>
                <a:t>𝑥)</a:t>
              </a:r>
              <a:r>
                <a:rPr lang="en-US" sz="1600" b="0" i="0" baseline="30000">
                  <a:latin typeface="Cambria Math" panose="02040503050406030204" pitchFamily="18" charset="0"/>
                </a:rPr>
                <a:t>2</a:t>
              </a:r>
              <a:r>
                <a:rPr lang="en-US" sz="1600" b="0" i="0">
                  <a:latin typeface="Cambria Math" panose="02040503050406030204" pitchFamily="18" charset="0"/>
                </a:rPr>
                <a:t>][𝑛(∑𝑦</a:t>
              </a:r>
              <a:r>
                <a:rPr lang="en-US" sz="1600" b="0" i="0" baseline="30000">
                  <a:latin typeface="Cambria Math" panose="02040503050406030204" pitchFamily="18" charset="0"/>
                </a:rPr>
                <a:t>2</a:t>
              </a:r>
              <a:r>
                <a:rPr lang="en-US" sz="1600" b="0" i="0">
                  <a:latin typeface="Cambria Math" panose="02040503050406030204" pitchFamily="18" charset="0"/>
                </a:rPr>
                <a:t>)−(</a:t>
              </a:r>
              <a:r>
                <a:rPr lang="en-US" sz="1600" i="0">
                  <a:latin typeface="Cambria Math" panose="02040503050406030204" pitchFamily="18" charset="0"/>
                </a:rPr>
                <a:t>∑</a:t>
              </a:r>
              <a:r>
                <a:rPr lang="en-US" sz="1600" b="0" i="0">
                  <a:latin typeface="Cambria Math" panose="02040503050406030204" pitchFamily="18" charset="0"/>
                </a:rPr>
                <a:t>𝑦)</a:t>
              </a:r>
              <a:r>
                <a:rPr lang="en-US" sz="1600" b="0" i="0" baseline="30000">
                  <a:latin typeface="Cambria Math" panose="02040503050406030204" pitchFamily="18" charset="0"/>
                </a:rPr>
                <a:t>2</a:t>
              </a:r>
              <a:r>
                <a:rPr lang="en-US" sz="1600" b="0" i="0">
                  <a:latin typeface="Cambria Math" panose="02040503050406030204" pitchFamily="18" charset="0"/>
                </a:rPr>
                <a:t>])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17</xdr:col>
      <xdr:colOff>355600</xdr:colOff>
      <xdr:row>0</xdr:row>
      <xdr:rowOff>107950</xdr:rowOff>
    </xdr:from>
    <xdr:to>
      <xdr:col>22</xdr:col>
      <xdr:colOff>266552</xdr:colOff>
      <xdr:row>3</xdr:row>
      <xdr:rowOff>129499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1">
              <a:extLst>
                <a:ext uri="{FF2B5EF4-FFF2-40B4-BE49-F238E27FC236}">
                  <a16:creationId xmlns:a16="http://schemas.microsoft.com/office/drawing/2014/main" id="{32B61850-FE27-D843-5300-2AC742792A6B}"/>
                </a:ext>
              </a:extLst>
            </xdr:cNvPr>
            <xdr:cNvSpPr txBox="1"/>
          </xdr:nvSpPr>
          <xdr:spPr>
            <a:xfrm>
              <a:off x="10109200" y="107950"/>
              <a:ext cx="2958952" cy="5866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d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</m:d>
                        <m:r>
                          <a:rPr lang="en-US" b="0" i="1">
                            <a:latin typeface="Cambria Math" panose="02040503050406030204" pitchFamily="18" charset="0"/>
                          </a:rPr>
                          <m:t>−(</m:t>
                        </m:r>
                        <m:r>
                          <a:rPr lang="en-US" i="1">
                            <a:latin typeface="Cambria Math" panose="02040503050406030204" pitchFamily="18" charset="0"/>
                          </a:rPr>
                          <m:t>∑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)(∑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𝑥𝑦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</m:d>
                        <m:r>
                          <a:rPr lang="en-US" b="0" i="1">
                            <a:latin typeface="Cambria Math" panose="02040503050406030204" pitchFamily="18" charset="0"/>
                          </a:rPr>
                          <m:t>−</m:t>
                        </m:r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  <m:r>
                          <a:rPr lang="en-US" b="0" i="1" baseline="30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/>
            </a:p>
          </xdr:txBody>
        </xdr:sp>
      </mc:Choice>
      <mc:Fallback xmlns="">
        <xdr:sp macro="" textlink="">
          <xdr:nvSpPr>
            <xdr:cNvPr id="3" name="TextBox 1">
              <a:extLst>
                <a:ext uri="{FF2B5EF4-FFF2-40B4-BE49-F238E27FC236}">
                  <a16:creationId xmlns:a16="http://schemas.microsoft.com/office/drawing/2014/main" id="{32B61850-FE27-D843-5300-2AC742792A6B}"/>
                </a:ext>
              </a:extLst>
            </xdr:cNvPr>
            <xdr:cNvSpPr txBox="1"/>
          </xdr:nvSpPr>
          <xdr:spPr>
            <a:xfrm>
              <a:off x="10109200" y="107950"/>
              <a:ext cx="2958952" cy="5866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b="0" i="0">
                  <a:latin typeface="Cambria Math" panose="02040503050406030204" pitchFamily="18" charset="0"/>
                </a:rPr>
                <a:t>𝑎=((∑𝑦)(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</a:t>
              </a:r>
              <a:r>
                <a:rPr lang="en-US" b="0" i="0" baseline="30000">
                  <a:latin typeface="Cambria Math" panose="02040503050406030204" pitchFamily="18" charset="0"/>
                </a:rPr>
                <a:t>2)</a:t>
              </a:r>
              <a:r>
                <a:rPr lang="en-US" b="0" i="0">
                  <a:latin typeface="Cambria Math" panose="02040503050406030204" pitchFamily="18" charset="0"/>
                </a:rPr>
                <a:t>−(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𝑥)(∑𝑥𝑦))/(𝑛(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</a:t>
              </a:r>
              <a:r>
                <a:rPr lang="en-US" b="0" i="0" baseline="30000">
                  <a:latin typeface="Cambria Math" panose="02040503050406030204" pitchFamily="18" charset="0"/>
                </a:rPr>
                <a:t>2)</a:t>
              </a:r>
              <a:r>
                <a:rPr lang="en-US" b="0" i="0">
                  <a:latin typeface="Cambria Math" panose="02040503050406030204" pitchFamily="18" charset="0"/>
                </a:rPr>
                <a:t>−(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𝑥)</a:t>
              </a:r>
              <a:r>
                <a:rPr lang="en-US" b="0" i="0" baseline="30000">
                  <a:latin typeface="Cambria Math" panose="02040503050406030204" pitchFamily="18" charset="0"/>
                </a:rPr>
                <a:t>2)</a:t>
              </a:r>
              <a:endParaRPr lang="en-US"/>
            </a:p>
          </xdr:txBody>
        </xdr:sp>
      </mc:Fallback>
    </mc:AlternateContent>
    <xdr:clientData/>
  </xdr:twoCellAnchor>
  <xdr:twoCellAnchor>
    <xdr:from>
      <xdr:col>13</xdr:col>
      <xdr:colOff>260350</xdr:colOff>
      <xdr:row>0</xdr:row>
      <xdr:rowOff>146050</xdr:rowOff>
    </xdr:from>
    <xdr:to>
      <xdr:col>17</xdr:col>
      <xdr:colOff>307374</xdr:colOff>
      <xdr:row>3</xdr:row>
      <xdr:rowOff>177799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5">
              <a:extLst>
                <a:ext uri="{FF2B5EF4-FFF2-40B4-BE49-F238E27FC236}">
                  <a16:creationId xmlns:a16="http://schemas.microsoft.com/office/drawing/2014/main" id="{3F70881A-D974-0E11-E0A8-FF61165281D1}"/>
                </a:ext>
              </a:extLst>
            </xdr:cNvPr>
            <xdr:cNvSpPr txBox="1"/>
          </xdr:nvSpPr>
          <xdr:spPr>
            <a:xfrm>
              <a:off x="7575550" y="146050"/>
              <a:ext cx="2485424" cy="5968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en-US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𝑥𝑦</m:t>
                            </m:r>
                          </m:e>
                        </m:d>
                        <m:r>
                          <a:rPr lang="en-US" b="0" i="1">
                            <a:latin typeface="Cambria Math" panose="02040503050406030204" pitchFamily="18" charset="0"/>
                          </a:rPr>
                          <m:t>−(</m:t>
                        </m:r>
                        <m:r>
                          <a:rPr lang="en-US" i="1">
                            <a:latin typeface="Cambria Math" panose="02040503050406030204" pitchFamily="18" charset="0"/>
                          </a:rPr>
                          <m:t>∑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)(∑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</m:d>
                        <m:r>
                          <a:rPr lang="en-US" b="0" i="1">
                            <a:latin typeface="Cambria Math" panose="02040503050406030204" pitchFamily="18" charset="0"/>
                          </a:rPr>
                          <m:t>−</m:t>
                        </m:r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  <m:r>
                          <a:rPr lang="en-US" b="0" i="1" baseline="30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/>
            </a:p>
          </xdr:txBody>
        </xdr:sp>
      </mc:Choice>
      <mc:Fallback xmlns="">
        <xdr:sp macro="" textlink="">
          <xdr:nvSpPr>
            <xdr:cNvPr id="4" name="TextBox 5">
              <a:extLst>
                <a:ext uri="{FF2B5EF4-FFF2-40B4-BE49-F238E27FC236}">
                  <a16:creationId xmlns:a16="http://schemas.microsoft.com/office/drawing/2014/main" id="{3F70881A-D974-0E11-E0A8-FF61165281D1}"/>
                </a:ext>
              </a:extLst>
            </xdr:cNvPr>
            <xdr:cNvSpPr txBox="1"/>
          </xdr:nvSpPr>
          <xdr:spPr>
            <a:xfrm>
              <a:off x="7575550" y="146050"/>
              <a:ext cx="2485424" cy="5968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b="0" i="0">
                  <a:latin typeface="Cambria Math" panose="02040503050406030204" pitchFamily="18" charset="0"/>
                </a:rPr>
                <a:t>𝑏=(𝑛(∑𝑥𝑦)−(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𝑥)(∑𝑦))/(𝑛(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</a:t>
              </a:r>
              <a:r>
                <a:rPr lang="en-US" b="0" i="0" baseline="30000">
                  <a:latin typeface="Cambria Math" panose="02040503050406030204" pitchFamily="18" charset="0"/>
                </a:rPr>
                <a:t>2)</a:t>
              </a:r>
              <a:r>
                <a:rPr lang="en-US" b="0" i="0">
                  <a:latin typeface="Cambria Math" panose="02040503050406030204" pitchFamily="18" charset="0"/>
                </a:rPr>
                <a:t>−(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𝑥)</a:t>
              </a:r>
              <a:r>
                <a:rPr lang="en-US" b="0" i="0" baseline="30000">
                  <a:latin typeface="Cambria Math" panose="02040503050406030204" pitchFamily="18" charset="0"/>
                </a:rPr>
                <a:t>2)</a:t>
              </a:r>
              <a:endParaRPr lang="en-US"/>
            </a:p>
          </xdr:txBody>
        </xdr:sp>
      </mc:Fallback>
    </mc:AlternateContent>
    <xdr:clientData/>
  </xdr:twoCellAnchor>
  <xdr:twoCellAnchor>
    <xdr:from>
      <xdr:col>18</xdr:col>
      <xdr:colOff>428624</xdr:colOff>
      <xdr:row>5</xdr:row>
      <xdr:rowOff>6350</xdr:rowOff>
    </xdr:from>
    <xdr:to>
      <xdr:col>27</xdr:col>
      <xdr:colOff>273049</xdr:colOff>
      <xdr:row>22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AB20DDA-EDD8-2158-1D20-46EAEC4B2E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24</xdr:row>
      <xdr:rowOff>82550</xdr:rowOff>
    </xdr:from>
    <xdr:to>
      <xdr:col>7</xdr:col>
      <xdr:colOff>304800</xdr:colOff>
      <xdr:row>39</xdr:row>
      <xdr:rowOff>63500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16247AD-AECA-2785-173A-3D308DFBCA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234950</xdr:colOff>
      <xdr:row>21</xdr:row>
      <xdr:rowOff>171450</xdr:rowOff>
    </xdr:from>
    <xdr:to>
      <xdr:col>13</xdr:col>
      <xdr:colOff>6350</xdr:colOff>
      <xdr:row>32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025238-0F11-246B-29AF-DD18E2C15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114800"/>
          <a:ext cx="3206750" cy="21018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96838</xdr:colOff>
      <xdr:row>28</xdr:row>
      <xdr:rowOff>96837</xdr:rowOff>
    </xdr:from>
    <xdr:to>
      <xdr:col>6</xdr:col>
      <xdr:colOff>720725</xdr:colOff>
      <xdr:row>43</xdr:row>
      <xdr:rowOff>77786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A64447-AAA3-69F2-A419-586248C22D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35720</xdr:colOff>
      <xdr:row>28</xdr:row>
      <xdr:rowOff>100807</xdr:rowOff>
    </xdr:from>
    <xdr:to>
      <xdr:col>14</xdr:col>
      <xdr:colOff>357189</xdr:colOff>
      <xdr:row>43</xdr:row>
      <xdr:rowOff>105569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7E71A8-F128-63FD-C7F0-2D756E543A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781844</xdr:colOff>
      <xdr:row>12</xdr:row>
      <xdr:rowOff>13494</xdr:rowOff>
    </xdr:from>
    <xdr:to>
      <xdr:col>8</xdr:col>
      <xdr:colOff>400844</xdr:colOff>
      <xdr:row>27</xdr:row>
      <xdr:rowOff>18256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125E604-8E8C-8C64-CCF8-E710FB38AB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96838</xdr:colOff>
      <xdr:row>29</xdr:row>
      <xdr:rowOff>96837</xdr:rowOff>
    </xdr:from>
    <xdr:to>
      <xdr:col>6</xdr:col>
      <xdr:colOff>720725</xdr:colOff>
      <xdr:row>44</xdr:row>
      <xdr:rowOff>77786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B97BD8-3E61-459F-AD01-005D76826D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35720</xdr:colOff>
      <xdr:row>29</xdr:row>
      <xdr:rowOff>100807</xdr:rowOff>
    </xdr:from>
    <xdr:to>
      <xdr:col>14</xdr:col>
      <xdr:colOff>357189</xdr:colOff>
      <xdr:row>44</xdr:row>
      <xdr:rowOff>105569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BE134A-A971-42A5-82BB-99B3FD6C17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130969</xdr:colOff>
      <xdr:row>45</xdr:row>
      <xdr:rowOff>69056</xdr:rowOff>
    </xdr:from>
    <xdr:to>
      <xdr:col>6</xdr:col>
      <xdr:colOff>742156</xdr:colOff>
      <xdr:row>60</xdr:row>
      <xdr:rowOff>73818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E526FF-832F-4E6A-A16F-20ABD44E63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15875</xdr:colOff>
      <xdr:row>7</xdr:row>
      <xdr:rowOff>38100</xdr:rowOff>
    </xdr:from>
    <xdr:to>
      <xdr:col>15</xdr:col>
      <xdr:colOff>320675</xdr:colOff>
      <xdr:row>22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F057CB-ADCF-083C-ADA2-617AB4CFD1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7</xdr:row>
      <xdr:rowOff>127000</xdr:rowOff>
    </xdr:from>
    <xdr:to>
      <xdr:col>14</xdr:col>
      <xdr:colOff>390525</xdr:colOff>
      <xdr:row>22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054C9B-5DB1-0674-F0A3-49D527094C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19</xdr:row>
      <xdr:rowOff>25400</xdr:rowOff>
    </xdr:from>
    <xdr:to>
      <xdr:col>2</xdr:col>
      <xdr:colOff>348615</xdr:colOff>
      <xdr:row>22</xdr:row>
      <xdr:rowOff>137160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70FCC8-52CA-4C55-B5EE-A13C9206F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3346450"/>
          <a:ext cx="1758315" cy="62611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0</xdr:col>
      <xdr:colOff>50800</xdr:colOff>
      <xdr:row>28</xdr:row>
      <xdr:rowOff>38100</xdr:rowOff>
    </xdr:from>
    <xdr:to>
      <xdr:col>2</xdr:col>
      <xdr:colOff>469900</xdr:colOff>
      <xdr:row>32</xdr:row>
      <xdr:rowOff>92710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22F05A-4EED-41EA-AE76-0D4183796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4864100"/>
          <a:ext cx="1892300" cy="68961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>
    <xdr:from>
      <xdr:col>10</xdr:col>
      <xdr:colOff>82550</xdr:colOff>
      <xdr:row>21</xdr:row>
      <xdr:rowOff>38100</xdr:rowOff>
    </xdr:from>
    <xdr:to>
      <xdr:col>13</xdr:col>
      <xdr:colOff>939800</xdr:colOff>
      <xdr:row>24</xdr:row>
      <xdr:rowOff>31750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8A0F37-D24B-4A2A-983F-B9D286B2C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3714750"/>
          <a:ext cx="2686050" cy="508000"/>
        </a:xfrm>
        <a:prstGeom prst="rect">
          <a:avLst/>
        </a:prstGeom>
        <a:noFill/>
        <a:ln w="28575">
          <a:solidFill>
            <a:srgbClr val="C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88900</xdr:colOff>
      <xdr:row>24</xdr:row>
      <xdr:rowOff>127000</xdr:rowOff>
    </xdr:from>
    <xdr:to>
      <xdr:col>16</xdr:col>
      <xdr:colOff>6350</xdr:colOff>
      <xdr:row>27</xdr:row>
      <xdr:rowOff>95250</xdr:rowOff>
    </xdr:to>
    <xdr:pic>
      <xdr:nvPicPr>
        <xdr:cNvPr id="5" name="Picture 2">
          <a:extLst>
            <a:ext uri="{FF2B5EF4-FFF2-40B4-BE49-F238E27FC236}">
              <a16:creationId xmlns:a16="http://schemas.microsoft.com/office/drawing/2014/main" id="{61C0C537-3A65-44DE-8C3C-9B4C76952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0150" y="4318000"/>
          <a:ext cx="4203700" cy="444500"/>
        </a:xfrm>
        <a:prstGeom prst="rect">
          <a:avLst/>
        </a:prstGeom>
        <a:noFill/>
        <a:ln w="28575">
          <a:solidFill>
            <a:srgbClr val="C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25400</xdr:colOff>
      <xdr:row>3</xdr:row>
      <xdr:rowOff>69851</xdr:rowOff>
    </xdr:from>
    <xdr:to>
      <xdr:col>15</xdr:col>
      <xdr:colOff>573440</xdr:colOff>
      <xdr:row>8</xdr:row>
      <xdr:rowOff>57151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1F6657-11D2-4934-B5D2-BD8E0E37B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51700" y="793751"/>
          <a:ext cx="2986440" cy="91440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31750</xdr:colOff>
      <xdr:row>11</xdr:row>
      <xdr:rowOff>76200</xdr:rowOff>
    </xdr:from>
    <xdr:to>
      <xdr:col>15</xdr:col>
      <xdr:colOff>587048</xdr:colOff>
      <xdr:row>24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0D59FC-A501-4E45-971A-3950F2A99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58050" y="2286000"/>
          <a:ext cx="2993698" cy="246380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0</xdr:col>
      <xdr:colOff>38099</xdr:colOff>
      <xdr:row>12</xdr:row>
      <xdr:rowOff>19050</xdr:rowOff>
    </xdr:from>
    <xdr:to>
      <xdr:col>4</xdr:col>
      <xdr:colOff>548802</xdr:colOff>
      <xdr:row>21</xdr:row>
      <xdr:rowOff>82550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3550FD8-484A-403E-B620-4055FED644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" y="2413000"/>
          <a:ext cx="2949103" cy="172720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</xdr:row>
      <xdr:rowOff>0</xdr:rowOff>
    </xdr:from>
    <xdr:to>
      <xdr:col>14</xdr:col>
      <xdr:colOff>810260</xdr:colOff>
      <xdr:row>7</xdr:row>
      <xdr:rowOff>120650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CD7C60-A339-41F3-A27E-355670163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85800"/>
          <a:ext cx="3763010" cy="111125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16</xdr:col>
      <xdr:colOff>214313</xdr:colOff>
      <xdr:row>17</xdr:row>
      <xdr:rowOff>161925</xdr:rowOff>
    </xdr:from>
    <xdr:to>
      <xdr:col>20</xdr:col>
      <xdr:colOff>258763</xdr:colOff>
      <xdr:row>26</xdr:row>
      <xdr:rowOff>31936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D5418D-7FA6-422B-B6C0-BD9699AD0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12751" y="3773488"/>
          <a:ext cx="2600325" cy="1576573"/>
        </a:xfrm>
        <a:prstGeom prst="rect">
          <a:avLst/>
        </a:prstGeom>
        <a:noFill/>
        <a:ln w="28575">
          <a:solidFill>
            <a:srgbClr val="C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6</xdr:row>
      <xdr:rowOff>88900</xdr:rowOff>
    </xdr:from>
    <xdr:to>
      <xdr:col>8</xdr:col>
      <xdr:colOff>50800</xdr:colOff>
      <xdr:row>10</xdr:row>
      <xdr:rowOff>88265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71F767-1849-4C97-8075-69630D888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263650"/>
          <a:ext cx="2317750" cy="786765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4</xdr:col>
      <xdr:colOff>177800</xdr:colOff>
      <xdr:row>1</xdr:row>
      <xdr:rowOff>152400</xdr:rowOff>
    </xdr:from>
    <xdr:to>
      <xdr:col>6</xdr:col>
      <xdr:colOff>511175</xdr:colOff>
      <xdr:row>5</xdr:row>
      <xdr:rowOff>189865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EA60A5-13B3-4B69-8E53-F79267FB6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1550" y="381000"/>
          <a:ext cx="1552575" cy="786765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530225</xdr:colOff>
      <xdr:row>0</xdr:row>
      <xdr:rowOff>165100</xdr:rowOff>
    </xdr:from>
    <xdr:to>
      <xdr:col>12</xdr:col>
      <xdr:colOff>225425</xdr:colOff>
      <xdr:row>14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87C5E5-A373-C0AB-7A7F-1A52E3AA4E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533400</xdr:colOff>
      <xdr:row>1</xdr:row>
      <xdr:rowOff>0</xdr:rowOff>
    </xdr:from>
    <xdr:to>
      <xdr:col>18</xdr:col>
      <xdr:colOff>31750</xdr:colOff>
      <xdr:row>12</xdr:row>
      <xdr:rowOff>58699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581507-96D3-17D6-8464-A4870CC70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0850" y="184150"/>
          <a:ext cx="3155950" cy="2357399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871361</xdr:colOff>
      <xdr:row>11</xdr:row>
      <xdr:rowOff>23989</xdr:rowOff>
    </xdr:from>
    <xdr:to>
      <xdr:col>1</xdr:col>
      <xdr:colOff>558941</xdr:colOff>
      <xdr:row>16</xdr:row>
      <xdr:rowOff>131021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DFD762-CF03-4C99-B487-64F810571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361" y="2157589"/>
          <a:ext cx="1554480" cy="932532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5</xdr:col>
      <xdr:colOff>76200</xdr:colOff>
      <xdr:row>2</xdr:row>
      <xdr:rowOff>82550</xdr:rowOff>
    </xdr:from>
    <xdr:to>
      <xdr:col>9</xdr:col>
      <xdr:colOff>353060</xdr:colOff>
      <xdr:row>9</xdr:row>
      <xdr:rowOff>69708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45E32D-AB94-4CD4-B801-64BEB8B03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571500"/>
          <a:ext cx="2715260" cy="130160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5</xdr:col>
      <xdr:colOff>76200</xdr:colOff>
      <xdr:row>12</xdr:row>
      <xdr:rowOff>31750</xdr:rowOff>
    </xdr:from>
    <xdr:to>
      <xdr:col>9</xdr:col>
      <xdr:colOff>303530</xdr:colOff>
      <xdr:row>21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FB415FF-FB92-4244-82F0-FC0364CB9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2330450"/>
          <a:ext cx="2665730" cy="156845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>
    <xdr:from>
      <xdr:col>5</xdr:col>
      <xdr:colOff>174978</xdr:colOff>
      <xdr:row>25</xdr:row>
      <xdr:rowOff>31750</xdr:rowOff>
    </xdr:from>
    <xdr:to>
      <xdr:col>6</xdr:col>
      <xdr:colOff>555978</xdr:colOff>
      <xdr:row>29</xdr:row>
      <xdr:rowOff>12700</xdr:rowOff>
    </xdr:to>
    <xdr:pic>
      <xdr:nvPicPr>
        <xdr:cNvPr id="5" name="Picture 9">
          <a:extLst>
            <a:ext uri="{FF2B5EF4-FFF2-40B4-BE49-F238E27FC236}">
              <a16:creationId xmlns:a16="http://schemas.microsoft.com/office/drawing/2014/main" id="{B3F6B7ED-7936-4A4A-85E8-624632DC8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0278" y="4533900"/>
          <a:ext cx="990600" cy="641350"/>
        </a:xfrm>
        <a:prstGeom prst="rect">
          <a:avLst/>
        </a:prstGeom>
        <a:noFill/>
        <a:ln w="28575">
          <a:solidFill>
            <a:srgbClr val="C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42334</xdr:colOff>
      <xdr:row>29</xdr:row>
      <xdr:rowOff>98777</xdr:rowOff>
    </xdr:from>
    <xdr:to>
      <xdr:col>9</xdr:col>
      <xdr:colOff>576228</xdr:colOff>
      <xdr:row>33</xdr:row>
      <xdr:rowOff>61806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EE16E3C-66FE-46F5-B109-5E55DB240B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7634" y="5261327"/>
          <a:ext cx="2972294" cy="623429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17</xdr:col>
      <xdr:colOff>422729</xdr:colOff>
      <xdr:row>4</xdr:row>
      <xdr:rowOff>22497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5AB2F6-9E42-485E-AB2B-51B36F5E8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3550" y="158750"/>
          <a:ext cx="1826079" cy="606697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15</xdr:col>
      <xdr:colOff>0</xdr:colOff>
      <xdr:row>9</xdr:row>
      <xdr:rowOff>81639</xdr:rowOff>
    </xdr:from>
    <xdr:to>
      <xdr:col>18</xdr:col>
      <xdr:colOff>1244812</xdr:colOff>
      <xdr:row>11</xdr:row>
      <xdr:rowOff>92253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AA6562-E4B6-4053-AEC3-FAD766FD1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3550" y="1808839"/>
          <a:ext cx="3619712" cy="455114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17</xdr:col>
      <xdr:colOff>422729</xdr:colOff>
      <xdr:row>15</xdr:row>
      <xdr:rowOff>30208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CEFD650-65DD-4275-A5DB-3C759BC5F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3550" y="2393950"/>
          <a:ext cx="1826079" cy="63980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15</xdr:col>
      <xdr:colOff>0</xdr:colOff>
      <xdr:row>28</xdr:row>
      <xdr:rowOff>18142</xdr:rowOff>
    </xdr:from>
    <xdr:to>
      <xdr:col>18</xdr:col>
      <xdr:colOff>429986</xdr:colOff>
      <xdr:row>31</xdr:row>
      <xdr:rowOff>82550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BED587B-41E7-4A14-8AEF-7D35A9A37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3550" y="5580742"/>
          <a:ext cx="2804886" cy="57875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9</xdr:col>
      <xdr:colOff>697230</xdr:colOff>
      <xdr:row>33</xdr:row>
      <xdr:rowOff>121648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B7A1CFE-C016-41B9-B9E3-C2B6E3C7D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5759450"/>
          <a:ext cx="2602230" cy="78839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9</xdr:col>
      <xdr:colOff>1206501</xdr:colOff>
      <xdr:row>29</xdr:row>
      <xdr:rowOff>9071</xdr:rowOff>
    </xdr:from>
    <xdr:to>
      <xdr:col>10</xdr:col>
      <xdr:colOff>1577522</xdr:colOff>
      <xdr:row>30</xdr:row>
      <xdr:rowOff>85180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AB09393-051E-4D20-AF08-48F04D6ABF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9301" y="5768521"/>
          <a:ext cx="1691821" cy="234859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9</xdr:col>
      <xdr:colOff>1206500</xdr:colOff>
      <xdr:row>34</xdr:row>
      <xdr:rowOff>9071</xdr:rowOff>
    </xdr:from>
    <xdr:to>
      <xdr:col>11</xdr:col>
      <xdr:colOff>421458</xdr:colOff>
      <xdr:row>36</xdr:row>
      <xdr:rowOff>69215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160D9CE-7EBD-432D-8C85-42B894233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9300" y="6594021"/>
          <a:ext cx="2142308" cy="377644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9</xdr:col>
      <xdr:colOff>1242785</xdr:colOff>
      <xdr:row>41</xdr:row>
      <xdr:rowOff>54427</xdr:rowOff>
    </xdr:from>
    <xdr:to>
      <xdr:col>10</xdr:col>
      <xdr:colOff>1423306</xdr:colOff>
      <xdr:row>44</xdr:row>
      <xdr:rowOff>815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22AAA8B-E3C7-4767-8DDA-61D7445946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05585" y="7750627"/>
          <a:ext cx="1501321" cy="42263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9</xdr:col>
      <xdr:colOff>1224643</xdr:colOff>
      <xdr:row>48</xdr:row>
      <xdr:rowOff>54428</xdr:rowOff>
    </xdr:from>
    <xdr:to>
      <xdr:col>11</xdr:col>
      <xdr:colOff>904421</xdr:colOff>
      <xdr:row>49</xdr:row>
      <xdr:rowOff>130537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3D17A6D-0236-4D41-BB6C-3E6D36B8F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7443" y="8861878"/>
          <a:ext cx="2607128" cy="234859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10</xdr:col>
      <xdr:colOff>72572</xdr:colOff>
      <xdr:row>53</xdr:row>
      <xdr:rowOff>63500</xdr:rowOff>
    </xdr:from>
    <xdr:to>
      <xdr:col>11</xdr:col>
      <xdr:colOff>63319</xdr:colOff>
      <xdr:row>56</xdr:row>
      <xdr:rowOff>9887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FD102DD-1694-4335-B427-4F7CBBCAF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6172" y="9664700"/>
          <a:ext cx="1597297" cy="422637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10</xdr:col>
      <xdr:colOff>54429</xdr:colOff>
      <xdr:row>60</xdr:row>
      <xdr:rowOff>102506</xdr:rowOff>
    </xdr:from>
    <xdr:to>
      <xdr:col>10</xdr:col>
      <xdr:colOff>1271089</xdr:colOff>
      <xdr:row>62</xdr:row>
      <xdr:rowOff>56604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D8B92C3-1310-429C-9F73-4490C0C15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8029" y="10814956"/>
          <a:ext cx="1216660" cy="27159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163286</xdr:colOff>
      <xdr:row>28</xdr:row>
      <xdr:rowOff>117928</xdr:rowOff>
    </xdr:from>
    <xdr:to>
      <xdr:col>13</xdr:col>
      <xdr:colOff>183062</xdr:colOff>
      <xdr:row>30</xdr:row>
      <xdr:rowOff>113846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D6062A3-7006-4E4F-AD45-CEE38BF78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3436" y="5680528"/>
          <a:ext cx="3029676" cy="35151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571500</xdr:colOff>
      <xdr:row>33</xdr:row>
      <xdr:rowOff>63500</xdr:rowOff>
    </xdr:from>
    <xdr:to>
      <xdr:col>14</xdr:col>
      <xdr:colOff>3085</xdr:colOff>
      <xdr:row>37</xdr:row>
      <xdr:rowOff>907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F32C100-734F-4ACF-B9C6-3E4473F4C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1650" y="6489700"/>
          <a:ext cx="3343185" cy="572407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0</xdr:colOff>
      <xdr:row>41</xdr:row>
      <xdr:rowOff>36284</xdr:rowOff>
    </xdr:from>
    <xdr:to>
      <xdr:col>13</xdr:col>
      <xdr:colOff>343626</xdr:colOff>
      <xdr:row>44</xdr:row>
      <xdr:rowOff>109037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E972C40-B14B-4FBD-8B24-1CA2E93AC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0150" y="7732484"/>
          <a:ext cx="3353526" cy="549003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1006929</xdr:colOff>
      <xdr:row>48</xdr:row>
      <xdr:rowOff>18143</xdr:rowOff>
    </xdr:from>
    <xdr:to>
      <xdr:col>13</xdr:col>
      <xdr:colOff>864780</xdr:colOff>
      <xdr:row>50</xdr:row>
      <xdr:rowOff>29392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BBC381E-A582-4EE9-A9B4-2AD981A8C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7079" y="8825593"/>
          <a:ext cx="2867751" cy="328749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208643</xdr:colOff>
      <xdr:row>53</xdr:row>
      <xdr:rowOff>27214</xdr:rowOff>
    </xdr:from>
    <xdr:to>
      <xdr:col>12</xdr:col>
      <xdr:colOff>935174</xdr:colOff>
      <xdr:row>57</xdr:row>
      <xdr:rowOff>14151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E407F0E-DDE8-476D-B449-91CFB5F8D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8793" y="9628414"/>
          <a:ext cx="2656931" cy="621937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0</xdr:colOff>
      <xdr:row>60</xdr:row>
      <xdr:rowOff>45358</xdr:rowOff>
    </xdr:from>
    <xdr:to>
      <xdr:col>12</xdr:col>
      <xdr:colOff>684621</xdr:colOff>
      <xdr:row>63</xdr:row>
      <xdr:rowOff>123856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7105BBAF-657D-4DD2-9CE4-12D2A5502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0150" y="10757808"/>
          <a:ext cx="2615021" cy="55474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44450</xdr:colOff>
      <xdr:row>17</xdr:row>
      <xdr:rowOff>76200</xdr:rowOff>
    </xdr:from>
    <xdr:to>
      <xdr:col>7</xdr:col>
      <xdr:colOff>396239</xdr:colOff>
      <xdr:row>23</xdr:row>
      <xdr:rowOff>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3C061A-D2DB-4A0C-9AFF-6E30B4B4A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752850"/>
          <a:ext cx="2174239" cy="1117601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8</xdr:col>
      <xdr:colOff>6350</xdr:colOff>
      <xdr:row>17</xdr:row>
      <xdr:rowOff>82550</xdr:rowOff>
    </xdr:from>
    <xdr:to>
      <xdr:col>9</xdr:col>
      <xdr:colOff>570230</xdr:colOff>
      <xdr:row>21</xdr:row>
      <xdr:rowOff>158569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712D0BB-773B-493C-ACAB-A4E07C79A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8550" y="3759200"/>
          <a:ext cx="1751330" cy="876119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>
    <xdr:from>
      <xdr:col>8</xdr:col>
      <xdr:colOff>142875</xdr:colOff>
      <xdr:row>0</xdr:row>
      <xdr:rowOff>254000</xdr:rowOff>
    </xdr:from>
    <xdr:to>
      <xdr:col>14</xdr:col>
      <xdr:colOff>479425</xdr:colOff>
      <xdr:row>13</xdr:row>
      <xdr:rowOff>158750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02D72AD-C221-4EC1-6B2C-660727CFB7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ocr.ucla.edu/Applets.dir/F_Table.html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ocr.ucla.edu/Applets.dir/F_Table.htm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www.sjsu.edu/faculty/gerstman/StatPrimer/t-table.pdf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7"/>
  <sheetViews>
    <sheetView tabSelected="1" workbookViewId="0">
      <selection activeCell="J5" sqref="J5"/>
    </sheetView>
  </sheetViews>
  <sheetFormatPr defaultRowHeight="14.5"/>
  <cols>
    <col min="2" max="2" width="32.6328125" customWidth="1"/>
    <col min="3" max="3" width="13.08984375" bestFit="1" customWidth="1"/>
    <col min="4" max="7" width="13.7265625" bestFit="1" customWidth="1"/>
  </cols>
  <sheetData>
    <row r="2" spans="1:7">
      <c r="A2" s="3" t="s">
        <v>1</v>
      </c>
      <c r="B2" s="3" t="s">
        <v>0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2">
        <v>1</v>
      </c>
      <c r="B3" s="1" t="s">
        <v>23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</row>
    <row r="4" spans="1:7">
      <c r="A4" s="2">
        <v>2</v>
      </c>
      <c r="B4" s="1" t="s">
        <v>24</v>
      </c>
      <c r="C4" s="2" t="s">
        <v>2</v>
      </c>
      <c r="D4" s="2" t="s">
        <v>2</v>
      </c>
      <c r="E4" s="2" t="s">
        <v>120</v>
      </c>
      <c r="F4" s="2" t="s">
        <v>2</v>
      </c>
      <c r="G4" s="2" t="s">
        <v>2</v>
      </c>
    </row>
    <row r="5" spans="1:7">
      <c r="A5" s="2">
        <v>3</v>
      </c>
      <c r="B5" s="1" t="s">
        <v>25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</row>
    <row r="6" spans="1:7">
      <c r="A6" s="2">
        <v>4</v>
      </c>
      <c r="B6" s="1" t="s">
        <v>26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</row>
    <row r="7" spans="1:7">
      <c r="A7" s="2">
        <v>5</v>
      </c>
      <c r="B7" s="1" t="s">
        <v>27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</row>
    <row r="8" spans="1:7">
      <c r="A8" s="2">
        <v>6</v>
      </c>
      <c r="B8" s="1" t="s">
        <v>28</v>
      </c>
      <c r="C8" s="2" t="s">
        <v>2</v>
      </c>
      <c r="D8" s="2" t="s">
        <v>120</v>
      </c>
      <c r="E8" s="2" t="s">
        <v>2</v>
      </c>
      <c r="F8" s="2" t="s">
        <v>2</v>
      </c>
      <c r="G8" s="2" t="s">
        <v>2</v>
      </c>
    </row>
    <row r="9" spans="1:7">
      <c r="A9" s="2">
        <v>7</v>
      </c>
      <c r="B9" s="1" t="s">
        <v>29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</row>
    <row r="10" spans="1:7">
      <c r="A10" s="2">
        <v>8</v>
      </c>
      <c r="B10" s="1" t="s">
        <v>30</v>
      </c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</row>
    <row r="11" spans="1:7">
      <c r="A11" s="2">
        <v>9</v>
      </c>
      <c r="B11" s="1" t="s">
        <v>31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</row>
    <row r="12" spans="1:7">
      <c r="A12" s="2">
        <v>10</v>
      </c>
      <c r="B12" s="1" t="s">
        <v>32</v>
      </c>
      <c r="C12" s="2" t="s">
        <v>2</v>
      </c>
      <c r="D12" s="2" t="s">
        <v>2</v>
      </c>
      <c r="E12" s="2" t="s">
        <v>2</v>
      </c>
      <c r="F12" s="2" t="s">
        <v>2</v>
      </c>
      <c r="G12" s="2" t="s">
        <v>2</v>
      </c>
    </row>
    <row r="13" spans="1:7">
      <c r="A13" s="2">
        <v>11</v>
      </c>
      <c r="B13" s="1" t="s">
        <v>33</v>
      </c>
      <c r="C13" s="2" t="s">
        <v>2</v>
      </c>
      <c r="D13" s="2" t="s">
        <v>2</v>
      </c>
      <c r="E13" s="2" t="s">
        <v>2</v>
      </c>
      <c r="F13" s="2" t="s">
        <v>2</v>
      </c>
      <c r="G13" s="2" t="s">
        <v>2</v>
      </c>
    </row>
    <row r="14" spans="1:7">
      <c r="A14" s="2">
        <v>12</v>
      </c>
      <c r="B14" s="1" t="s">
        <v>34</v>
      </c>
      <c r="C14" s="2" t="s">
        <v>2</v>
      </c>
      <c r="D14" s="2" t="s">
        <v>2</v>
      </c>
      <c r="E14" s="2" t="s">
        <v>2</v>
      </c>
      <c r="F14" s="2" t="s">
        <v>2</v>
      </c>
      <c r="G14" s="2" t="s">
        <v>2</v>
      </c>
    </row>
    <row r="15" spans="1:7">
      <c r="A15" s="2">
        <v>13</v>
      </c>
      <c r="B15" s="1" t="s">
        <v>35</v>
      </c>
      <c r="C15" s="2" t="s">
        <v>2</v>
      </c>
      <c r="D15" s="2" t="s">
        <v>120</v>
      </c>
      <c r="E15" s="2" t="s">
        <v>120</v>
      </c>
      <c r="F15" s="2" t="s">
        <v>2</v>
      </c>
      <c r="G15" s="2" t="s">
        <v>2</v>
      </c>
    </row>
    <row r="16" spans="1:7">
      <c r="A16" s="2">
        <v>14</v>
      </c>
      <c r="B16" s="1" t="s">
        <v>36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2</v>
      </c>
    </row>
    <row r="17" spans="1:7">
      <c r="A17" s="2">
        <v>15</v>
      </c>
      <c r="B17" s="1" t="s">
        <v>37</v>
      </c>
      <c r="C17" s="2" t="s">
        <v>2</v>
      </c>
      <c r="D17" s="2" t="s">
        <v>2</v>
      </c>
      <c r="E17" s="2" t="s">
        <v>2</v>
      </c>
      <c r="F17" s="2" t="s">
        <v>2</v>
      </c>
      <c r="G17" s="2" t="s">
        <v>2</v>
      </c>
    </row>
  </sheetData>
  <phoneticPr fontId="4" type="noConversion"/>
  <conditionalFormatting sqref="C3:G17">
    <cfRule type="cellIs" dxfId="1" priority="1" operator="equal">
      <formula>"Absent"</formula>
    </cfRule>
    <cfRule type="cellIs" dxfId="0" priority="2" operator="equal">
      <formula>"Present"</formula>
    </cfRule>
  </conditionalFormatting>
  <dataValidations count="1">
    <dataValidation type="list" allowBlank="1" showInputMessage="1" showErrorMessage="1" sqref="C3:G17" xr:uid="{A0A289B6-70BC-4C1B-946A-A18E35E31D7A}">
      <formula1>"Present,Absent"</formula1>
    </dataValidation>
  </dataValidation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C9A5-F75B-4B9E-82B2-3C439654534C}">
  <dimension ref="A1:S53"/>
  <sheetViews>
    <sheetView workbookViewId="0">
      <selection activeCell="E47" sqref="E47"/>
    </sheetView>
  </sheetViews>
  <sheetFormatPr defaultRowHeight="14.5"/>
  <cols>
    <col min="10" max="10" width="4.36328125" customWidth="1"/>
    <col min="11" max="11" width="17.26953125" bestFit="1" customWidth="1"/>
    <col min="12" max="12" width="12.453125" bestFit="1" customWidth="1"/>
    <col min="13" max="13" width="13.54296875" bestFit="1" customWidth="1"/>
    <col min="14" max="14" width="12.453125" bestFit="1" customWidth="1"/>
    <col min="15" max="15" width="11.81640625" bestFit="1" customWidth="1"/>
    <col min="16" max="18" width="12.453125" bestFit="1" customWidth="1"/>
  </cols>
  <sheetData>
    <row r="1" spans="1:12" ht="15" thickBot="1"/>
    <row r="2" spans="1:12" ht="15" thickBot="1">
      <c r="A2" s="24" t="s">
        <v>8</v>
      </c>
      <c r="B2" s="25" t="s">
        <v>9</v>
      </c>
      <c r="C2" s="26" t="s">
        <v>10</v>
      </c>
      <c r="D2" s="27" t="s">
        <v>11</v>
      </c>
      <c r="E2" s="25" t="s">
        <v>12</v>
      </c>
      <c r="F2" s="26" t="s">
        <v>13</v>
      </c>
    </row>
    <row r="3" spans="1:12">
      <c r="A3" s="28" t="s">
        <v>14</v>
      </c>
      <c r="B3" s="31">
        <v>6</v>
      </c>
      <c r="C3" s="32">
        <v>82</v>
      </c>
      <c r="D3" s="22">
        <f>B3*C3</f>
        <v>492</v>
      </c>
      <c r="E3" s="20">
        <f>B3^2</f>
        <v>36</v>
      </c>
      <c r="F3" s="23">
        <f>C3^2</f>
        <v>6724</v>
      </c>
    </row>
    <row r="4" spans="1:12">
      <c r="A4" s="29" t="s">
        <v>15</v>
      </c>
      <c r="B4" s="2">
        <v>2</v>
      </c>
      <c r="C4" s="33">
        <v>86</v>
      </c>
      <c r="D4" s="15">
        <f t="shared" ref="D4:D9" si="0">B4*C4</f>
        <v>172</v>
      </c>
      <c r="E4" s="1">
        <f t="shared" ref="E4:E9" si="1">B4^2</f>
        <v>4</v>
      </c>
      <c r="F4" s="14">
        <f t="shared" ref="F4:F9" si="2">C4^2</f>
        <v>7396</v>
      </c>
    </row>
    <row r="5" spans="1:12" ht="15" thickBot="1">
      <c r="A5" s="29" t="s">
        <v>16</v>
      </c>
      <c r="B5" s="2">
        <v>15</v>
      </c>
      <c r="C5" s="33">
        <v>43</v>
      </c>
      <c r="D5" s="15">
        <f t="shared" si="0"/>
        <v>645</v>
      </c>
      <c r="E5" s="1">
        <f t="shared" si="1"/>
        <v>225</v>
      </c>
      <c r="F5" s="14">
        <f t="shared" si="2"/>
        <v>1849</v>
      </c>
    </row>
    <row r="6" spans="1:12">
      <c r="A6" s="29" t="s">
        <v>17</v>
      </c>
      <c r="B6" s="2">
        <v>9</v>
      </c>
      <c r="C6" s="33">
        <v>74</v>
      </c>
      <c r="D6" s="15">
        <f t="shared" si="0"/>
        <v>666</v>
      </c>
      <c r="E6" s="1">
        <f t="shared" si="1"/>
        <v>81</v>
      </c>
      <c r="F6" s="14">
        <f t="shared" si="2"/>
        <v>5476</v>
      </c>
      <c r="H6" s="57"/>
      <c r="I6" s="57" t="s">
        <v>9</v>
      </c>
      <c r="J6" s="57"/>
      <c r="K6" s="57" t="s">
        <v>10</v>
      </c>
    </row>
    <row r="7" spans="1:12">
      <c r="A7" s="29" t="s">
        <v>18</v>
      </c>
      <c r="B7" s="2">
        <v>12</v>
      </c>
      <c r="C7" s="33">
        <v>58</v>
      </c>
      <c r="D7" s="15">
        <f t="shared" si="0"/>
        <v>696</v>
      </c>
      <c r="E7" s="1">
        <f t="shared" si="1"/>
        <v>144</v>
      </c>
      <c r="F7" s="14">
        <f t="shared" si="2"/>
        <v>3364</v>
      </c>
      <c r="H7" t="s">
        <v>9</v>
      </c>
      <c r="I7">
        <v>1</v>
      </c>
    </row>
    <row r="8" spans="1:12" ht="15" thickBot="1">
      <c r="A8" s="29" t="s">
        <v>19</v>
      </c>
      <c r="B8" s="2">
        <v>5</v>
      </c>
      <c r="C8" s="33">
        <v>90</v>
      </c>
      <c r="D8" s="15">
        <f t="shared" si="0"/>
        <v>450</v>
      </c>
      <c r="E8" s="1">
        <f t="shared" si="1"/>
        <v>25</v>
      </c>
      <c r="F8" s="14">
        <f t="shared" si="2"/>
        <v>8100</v>
      </c>
      <c r="H8" s="56" t="s">
        <v>10</v>
      </c>
      <c r="I8" s="69">
        <v>-0.94421517068791805</v>
      </c>
      <c r="J8" s="69"/>
      <c r="K8" s="56">
        <v>1</v>
      </c>
    </row>
    <row r="9" spans="1:12" ht="15" thickBot="1">
      <c r="A9" s="30" t="s">
        <v>20</v>
      </c>
      <c r="B9" s="36">
        <v>8</v>
      </c>
      <c r="C9" s="37">
        <v>78</v>
      </c>
      <c r="D9" s="38">
        <f t="shared" si="0"/>
        <v>624</v>
      </c>
      <c r="E9" s="39">
        <f t="shared" si="1"/>
        <v>64</v>
      </c>
      <c r="F9" s="40">
        <f t="shared" si="2"/>
        <v>6084</v>
      </c>
    </row>
    <row r="10" spans="1:12" ht="15" thickBot="1">
      <c r="B10" s="49">
        <f t="shared" ref="B10:F10" si="3">SUM(B3:B9)</f>
        <v>57</v>
      </c>
      <c r="C10" s="50">
        <f t="shared" si="3"/>
        <v>511</v>
      </c>
      <c r="D10" s="51">
        <f t="shared" si="3"/>
        <v>3745</v>
      </c>
      <c r="E10" s="50">
        <f t="shared" si="3"/>
        <v>579</v>
      </c>
      <c r="F10" s="52">
        <f t="shared" si="3"/>
        <v>38993</v>
      </c>
      <c r="K10" t="s">
        <v>58</v>
      </c>
    </row>
    <row r="11" spans="1:12" ht="15" thickBot="1"/>
    <row r="12" spans="1:12" ht="15" thickBot="1">
      <c r="B12" t="s">
        <v>21</v>
      </c>
      <c r="C12">
        <f>COUNTA(A3:A9)</f>
        <v>7</v>
      </c>
      <c r="E12" s="24" t="s">
        <v>9</v>
      </c>
      <c r="F12" s="26" t="s">
        <v>10</v>
      </c>
      <c r="G12" s="41" t="s">
        <v>42</v>
      </c>
      <c r="H12" s="45" t="s">
        <v>81</v>
      </c>
      <c r="I12" s="45" t="s">
        <v>54</v>
      </c>
      <c r="K12" s="58" t="s">
        <v>59</v>
      </c>
      <c r="L12" s="58"/>
    </row>
    <row r="13" spans="1:12">
      <c r="B13" t="s">
        <v>22</v>
      </c>
      <c r="C13" s="68">
        <f>(C12*D10-B10*C10)/SQRT((C12*E10-B10^2)*(C12*F10-C10^2))</f>
        <v>-0.94421517068791783</v>
      </c>
      <c r="E13" s="28">
        <v>6</v>
      </c>
      <c r="F13" s="32">
        <v>82</v>
      </c>
      <c r="G13" s="42">
        <f>$C$18+$C$19*E13</f>
        <v>80.761194029850742</v>
      </c>
      <c r="H13" s="72">
        <f>(F13-G13)^2</f>
        <v>1.5346402316774443</v>
      </c>
      <c r="I13" s="72">
        <f>F13-G13</f>
        <v>1.238805970149258</v>
      </c>
      <c r="K13" t="s">
        <v>60</v>
      </c>
      <c r="L13">
        <v>0.94421517068791783</v>
      </c>
    </row>
    <row r="14" spans="1:12">
      <c r="B14" t="s">
        <v>22</v>
      </c>
      <c r="C14">
        <f>CORREL(B3:B9,C3:C9)</f>
        <v>-0.94421517068791805</v>
      </c>
      <c r="E14" s="29">
        <v>2</v>
      </c>
      <c r="F14" s="33">
        <v>86</v>
      </c>
      <c r="G14" s="43">
        <f t="shared" ref="G14:G19" si="4">$C$18+$C$19*E14</f>
        <v>95.24875621890547</v>
      </c>
      <c r="H14" s="47">
        <f t="shared" ref="H14:H19" si="5">(F14-G14)^2</f>
        <v>85.539491596742607</v>
      </c>
      <c r="I14" s="72">
        <f t="shared" ref="I14:I19" si="6">F14-G14</f>
        <v>-9.24875621890547</v>
      </c>
      <c r="J14" s="73"/>
      <c r="K14" t="s">
        <v>61</v>
      </c>
      <c r="L14" s="59">
        <v>0.89154228855721385</v>
      </c>
    </row>
    <row r="15" spans="1:12">
      <c r="B15" t="s">
        <v>22</v>
      </c>
      <c r="C15">
        <f>CORREL(C3:C9,B3:B9)</f>
        <v>-0.94421517068791805</v>
      </c>
      <c r="E15" s="29">
        <v>15</v>
      </c>
      <c r="F15" s="33">
        <v>43</v>
      </c>
      <c r="G15" s="43">
        <f t="shared" si="4"/>
        <v>48.164179104477604</v>
      </c>
      <c r="H15" s="47">
        <f t="shared" si="5"/>
        <v>26.66874582312311</v>
      </c>
      <c r="I15" s="72">
        <f t="shared" si="6"/>
        <v>-5.1641791044776042</v>
      </c>
      <c r="J15" s="73"/>
      <c r="K15" t="s">
        <v>62</v>
      </c>
      <c r="L15">
        <v>0.86985074626865655</v>
      </c>
    </row>
    <row r="16" spans="1:12">
      <c r="A16" t="s">
        <v>39</v>
      </c>
      <c r="B16" t="s">
        <v>38</v>
      </c>
      <c r="C16" s="4">
        <f>(C10*E10-B10*D10)/(C12*E10-B10^2)</f>
        <v>102.49253731343283</v>
      </c>
      <c r="E16" s="29">
        <v>9</v>
      </c>
      <c r="F16" s="33">
        <v>74</v>
      </c>
      <c r="G16" s="43">
        <f t="shared" si="4"/>
        <v>69.895522388059703</v>
      </c>
      <c r="H16" s="47">
        <f t="shared" si="5"/>
        <v>16.846736466919122</v>
      </c>
      <c r="I16" s="72">
        <f t="shared" si="6"/>
        <v>4.1044776119402968</v>
      </c>
      <c r="J16" s="73"/>
      <c r="K16" t="s">
        <v>63</v>
      </c>
      <c r="L16">
        <v>6.054643380717124</v>
      </c>
    </row>
    <row r="17" spans="1:19" ht="15" thickBot="1">
      <c r="A17" t="s">
        <v>40</v>
      </c>
      <c r="B17" t="s">
        <v>41</v>
      </c>
      <c r="C17" s="4">
        <f>(C12*D10-B10*C10)/(C12*E10-B10^2)</f>
        <v>-3.6218905472636815</v>
      </c>
      <c r="E17" s="29">
        <v>12</v>
      </c>
      <c r="F17" s="33">
        <v>58</v>
      </c>
      <c r="G17" s="43">
        <f t="shared" si="4"/>
        <v>59.02985074626865</v>
      </c>
      <c r="H17" s="47">
        <f t="shared" si="5"/>
        <v>1.0605925595900956</v>
      </c>
      <c r="I17" s="72">
        <f t="shared" si="6"/>
        <v>-1.0298507462686501</v>
      </c>
      <c r="J17" s="73"/>
      <c r="K17" s="56" t="s">
        <v>64</v>
      </c>
      <c r="L17" s="56">
        <v>7</v>
      </c>
    </row>
    <row r="18" spans="1:19">
      <c r="A18" t="s">
        <v>39</v>
      </c>
      <c r="B18" t="s">
        <v>38</v>
      </c>
      <c r="C18">
        <f>INTERCEPT(C3:C9,B3:B9)</f>
        <v>102.49253731343283</v>
      </c>
      <c r="E18" s="29">
        <v>5</v>
      </c>
      <c r="F18" s="33">
        <v>90</v>
      </c>
      <c r="G18" s="43">
        <f t="shared" si="4"/>
        <v>84.383084577114431</v>
      </c>
      <c r="H18" s="47">
        <f t="shared" si="5"/>
        <v>31.549738867849769</v>
      </c>
      <c r="I18" s="72">
        <f t="shared" si="6"/>
        <v>5.6169154228855689</v>
      </c>
      <c r="J18" s="73"/>
    </row>
    <row r="19" spans="1:19" ht="15" thickBot="1">
      <c r="A19" t="s">
        <v>40</v>
      </c>
      <c r="B19" t="s">
        <v>41</v>
      </c>
      <c r="C19" s="5">
        <f>SLOPE(C3:C9,B3:B9)</f>
        <v>-3.621890547263682</v>
      </c>
      <c r="E19" s="30">
        <v>8</v>
      </c>
      <c r="F19" s="35">
        <v>78</v>
      </c>
      <c r="G19" s="44">
        <f t="shared" si="4"/>
        <v>73.517412935323378</v>
      </c>
      <c r="H19" s="48">
        <f t="shared" si="5"/>
        <v>20.093586792406175</v>
      </c>
      <c r="I19" s="72">
        <f t="shared" si="6"/>
        <v>4.4825870646766219</v>
      </c>
      <c r="J19" s="73"/>
      <c r="K19" t="s">
        <v>65</v>
      </c>
    </row>
    <row r="20" spans="1:19" ht="15" thickBot="1">
      <c r="B20" t="s">
        <v>55</v>
      </c>
      <c r="C20" s="59">
        <f>C13^2</f>
        <v>0.89154228855721385</v>
      </c>
      <c r="H20" s="70">
        <f>SUM(H13:H19)</f>
        <v>183.29353233830832</v>
      </c>
      <c r="I20" s="70">
        <f>SUM(I13:I19)</f>
        <v>2.1316282072803006E-14</v>
      </c>
      <c r="J20" s="73"/>
      <c r="K20" s="57"/>
      <c r="L20" s="57" t="s">
        <v>69</v>
      </c>
      <c r="M20" s="57" t="s">
        <v>70</v>
      </c>
      <c r="N20" s="57" t="s">
        <v>71</v>
      </c>
      <c r="O20" s="57" t="s">
        <v>19</v>
      </c>
      <c r="P20" s="57" t="s">
        <v>72</v>
      </c>
    </row>
    <row r="21" spans="1:19" ht="15" thickBot="1">
      <c r="K21" t="s">
        <v>66</v>
      </c>
      <c r="L21">
        <v>1</v>
      </c>
      <c r="M21">
        <v>1506.7064676616915</v>
      </c>
      <c r="N21">
        <v>1506.7064676616915</v>
      </c>
      <c r="O21">
        <v>41.100917431192663</v>
      </c>
      <c r="P21">
        <v>1.3697467655579901E-3</v>
      </c>
    </row>
    <row r="22" spans="1:19" ht="15" thickBot="1">
      <c r="E22" s="55" t="s">
        <v>9</v>
      </c>
      <c r="F22" s="55" t="s">
        <v>42</v>
      </c>
      <c r="G22" s="45" t="s">
        <v>42</v>
      </c>
      <c r="K22" t="s">
        <v>67</v>
      </c>
      <c r="L22">
        <v>5</v>
      </c>
      <c r="M22" s="71">
        <v>183.29353233830844</v>
      </c>
      <c r="N22">
        <v>36.658706467661688</v>
      </c>
    </row>
    <row r="23" spans="1:19" ht="15" thickBot="1">
      <c r="E23" s="28">
        <v>7</v>
      </c>
      <c r="F23" s="53">
        <f>$C$18+$C$19*E23</f>
        <v>77.139303482587053</v>
      </c>
      <c r="G23" s="46">
        <f>FORECAST(E23,$F$13:$F$19,$E$13:$E$19)</f>
        <v>77.139303482587053</v>
      </c>
      <c r="K23" s="56" t="s">
        <v>68</v>
      </c>
      <c r="L23" s="56">
        <v>6</v>
      </c>
      <c r="M23" s="56">
        <v>1690</v>
      </c>
      <c r="N23" s="56"/>
      <c r="O23" s="56"/>
      <c r="P23" s="56"/>
    </row>
    <row r="24" spans="1:19" ht="15" thickBot="1">
      <c r="E24" s="30">
        <v>10</v>
      </c>
      <c r="F24" s="54">
        <f>$C$18+$C$19*E24</f>
        <v>66.273631840796014</v>
      </c>
      <c r="G24" s="48">
        <f>FORECAST(E24,$F$13:$F$19,$E$13:$E$19)</f>
        <v>66.273631840796014</v>
      </c>
    </row>
    <row r="25" spans="1:19">
      <c r="K25" s="57"/>
      <c r="L25" s="57" t="s">
        <v>73</v>
      </c>
      <c r="M25" s="57" t="s">
        <v>63</v>
      </c>
      <c r="N25" s="57" t="s">
        <v>74</v>
      </c>
      <c r="O25" s="57" t="s">
        <v>75</v>
      </c>
      <c r="P25" s="57" t="s">
        <v>76</v>
      </c>
      <c r="Q25" s="57" t="s">
        <v>77</v>
      </c>
      <c r="R25" s="57" t="s">
        <v>78</v>
      </c>
      <c r="S25" s="57" t="s">
        <v>79</v>
      </c>
    </row>
    <row r="26" spans="1:19">
      <c r="K26" t="s">
        <v>39</v>
      </c>
      <c r="L26">
        <v>102.49253731343283</v>
      </c>
      <c r="M26">
        <v>5.1380677404490225</v>
      </c>
      <c r="N26">
        <v>19.947681208359445</v>
      </c>
      <c r="O26">
        <v>5.8508415074810417E-6</v>
      </c>
      <c r="P26">
        <v>89.284713709565651</v>
      </c>
      <c r="Q26">
        <v>115.70036091730002</v>
      </c>
      <c r="R26">
        <v>89.284713709565651</v>
      </c>
      <c r="S26">
        <v>115.70036091730002</v>
      </c>
    </row>
    <row r="27" spans="1:19" ht="15" thickBot="1">
      <c r="K27" s="56" t="s">
        <v>9</v>
      </c>
      <c r="L27" s="56">
        <v>-3.6218905472636815</v>
      </c>
      <c r="M27" s="56">
        <v>0.56494941577112823</v>
      </c>
      <c r="N27" s="56">
        <v>-6.4109997216653083</v>
      </c>
      <c r="O27" s="56">
        <v>1.3697467655579901E-3</v>
      </c>
      <c r="P27" s="56">
        <v>-5.0741392534982923</v>
      </c>
      <c r="Q27" s="56">
        <v>-2.1696418410290708</v>
      </c>
      <c r="R27" s="56">
        <v>-5.0741392534982923</v>
      </c>
      <c r="S27" s="56">
        <v>-2.1696418410290708</v>
      </c>
    </row>
    <row r="42" spans="2:9" ht="15" thickBot="1"/>
    <row r="43" spans="2:9">
      <c r="B43" s="16" t="s">
        <v>9</v>
      </c>
      <c r="C43" s="74">
        <v>6</v>
      </c>
      <c r="D43" s="74">
        <v>2</v>
      </c>
      <c r="E43" s="74">
        <v>15</v>
      </c>
      <c r="F43" s="74">
        <v>9</v>
      </c>
      <c r="G43" s="74">
        <v>12</v>
      </c>
      <c r="H43" s="74">
        <v>5</v>
      </c>
      <c r="I43" s="75">
        <v>8</v>
      </c>
    </row>
    <row r="44" spans="2:9" ht="15" thickBot="1">
      <c r="B44" s="76" t="s">
        <v>10</v>
      </c>
      <c r="C44" s="34">
        <v>82</v>
      </c>
      <c r="D44" s="34">
        <v>86</v>
      </c>
      <c r="E44" s="34">
        <v>43</v>
      </c>
      <c r="F44" s="34">
        <v>74</v>
      </c>
      <c r="G44" s="34">
        <v>58</v>
      </c>
      <c r="H44" s="34">
        <v>90</v>
      </c>
      <c r="I44" s="35">
        <v>78</v>
      </c>
    </row>
    <row r="45" spans="2:9" ht="15" thickBot="1"/>
    <row r="46" spans="2:9" ht="15" thickBot="1">
      <c r="B46" s="24" t="s">
        <v>9</v>
      </c>
      <c r="C46" s="26" t="s">
        <v>10</v>
      </c>
    </row>
    <row r="47" spans="2:9">
      <c r="B47" s="28">
        <v>6</v>
      </c>
      <c r="C47" s="32">
        <v>82</v>
      </c>
    </row>
    <row r="48" spans="2:9">
      <c r="B48" s="29">
        <v>2</v>
      </c>
      <c r="C48" s="33">
        <v>86</v>
      </c>
    </row>
    <row r="49" spans="2:3">
      <c r="B49" s="29">
        <v>15</v>
      </c>
      <c r="C49" s="33">
        <v>43</v>
      </c>
    </row>
    <row r="50" spans="2:3">
      <c r="B50" s="29">
        <v>9</v>
      </c>
      <c r="C50" s="33">
        <v>74</v>
      </c>
    </row>
    <row r="51" spans="2:3">
      <c r="B51" s="29">
        <v>12</v>
      </c>
      <c r="C51" s="33">
        <v>58</v>
      </c>
    </row>
    <row r="52" spans="2:3">
      <c r="B52" s="29">
        <v>5</v>
      </c>
      <c r="C52" s="33">
        <v>90</v>
      </c>
    </row>
    <row r="53" spans="2:3" ht="15" thickBot="1">
      <c r="B53" s="30">
        <v>8</v>
      </c>
      <c r="C53" s="35">
        <v>78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46C2-1589-4C9C-954B-1816DBE1B705}">
  <dimension ref="B1:O55"/>
  <sheetViews>
    <sheetView workbookViewId="0">
      <selection activeCell="F41" sqref="F41"/>
    </sheetView>
  </sheetViews>
  <sheetFormatPr defaultRowHeight="14.5"/>
  <cols>
    <col min="3" max="3" width="16.1796875" customWidth="1"/>
    <col min="4" max="4" width="12.453125" bestFit="1" customWidth="1"/>
    <col min="5" max="5" width="13.54296875" bestFit="1" customWidth="1"/>
    <col min="6" max="6" width="12.453125" bestFit="1" customWidth="1"/>
    <col min="7" max="7" width="17.26953125" bestFit="1" customWidth="1"/>
    <col min="8" max="8" width="12.453125" bestFit="1" customWidth="1"/>
    <col min="9" max="9" width="13.54296875" bestFit="1" customWidth="1"/>
    <col min="10" max="12" width="12.453125" bestFit="1" customWidth="1"/>
    <col min="13" max="13" width="11.81640625" bestFit="1" customWidth="1"/>
    <col min="14" max="14" width="12.453125" bestFit="1" customWidth="1"/>
    <col min="15" max="15" width="12" bestFit="1" customWidth="1"/>
  </cols>
  <sheetData>
    <row r="1" spans="2:15" ht="15" thickBot="1">
      <c r="C1" t="s">
        <v>82</v>
      </c>
      <c r="D1" t="s">
        <v>83</v>
      </c>
      <c r="J1" s="24" t="s">
        <v>8</v>
      </c>
      <c r="K1" s="25" t="s">
        <v>56</v>
      </c>
      <c r="L1" s="25" t="s">
        <v>57</v>
      </c>
      <c r="M1" s="26" t="s">
        <v>10</v>
      </c>
      <c r="N1" s="27" t="s">
        <v>80</v>
      </c>
      <c r="O1" s="26" t="s">
        <v>81</v>
      </c>
    </row>
    <row r="2" spans="2:15">
      <c r="B2" t="s">
        <v>8</v>
      </c>
      <c r="C2" t="s">
        <v>56</v>
      </c>
      <c r="D2" t="s">
        <v>57</v>
      </c>
      <c r="E2" t="s">
        <v>10</v>
      </c>
      <c r="G2" t="s">
        <v>58</v>
      </c>
      <c r="J2" s="28" t="s">
        <v>14</v>
      </c>
      <c r="K2" s="20">
        <v>3.2</v>
      </c>
      <c r="L2" s="20">
        <v>22</v>
      </c>
      <c r="M2" s="21">
        <v>550</v>
      </c>
      <c r="N2" s="22">
        <f>$H$18+$H$19*K2+$H$20*L2</f>
        <v>555.36373267414149</v>
      </c>
      <c r="O2" s="21">
        <f>(M2-N2)^2</f>
        <v>28.769628199652999</v>
      </c>
    </row>
    <row r="3" spans="2:15" ht="15" thickBot="1">
      <c r="B3" t="s">
        <v>14</v>
      </c>
      <c r="C3">
        <v>3.2</v>
      </c>
      <c r="D3">
        <v>22</v>
      </c>
      <c r="E3">
        <v>550</v>
      </c>
      <c r="J3" s="29" t="s">
        <v>15</v>
      </c>
      <c r="K3" s="1">
        <v>2.7</v>
      </c>
      <c r="L3" s="1">
        <v>27</v>
      </c>
      <c r="M3" s="17">
        <v>570</v>
      </c>
      <c r="N3" s="15">
        <f t="shared" ref="N3:N6" si="0">$H$18+$H$19*K3+$H$20*L3</f>
        <v>584.20852829522391</v>
      </c>
      <c r="O3" s="17">
        <f t="shared" ref="O3:O6" si="1">(M3-N3)^2</f>
        <v>201.88227631617858</v>
      </c>
    </row>
    <row r="4" spans="2:15">
      <c r="B4" t="s">
        <v>15</v>
      </c>
      <c r="C4">
        <v>2.7</v>
      </c>
      <c r="D4">
        <v>27</v>
      </c>
      <c r="E4">
        <v>570</v>
      </c>
      <c r="G4" s="58" t="s">
        <v>59</v>
      </c>
      <c r="H4" s="58"/>
      <c r="J4" s="29" t="s">
        <v>16</v>
      </c>
      <c r="K4" s="1">
        <v>2.5</v>
      </c>
      <c r="L4" s="1">
        <v>24</v>
      </c>
      <c r="M4" s="17">
        <v>525</v>
      </c>
      <c r="N4" s="15">
        <f t="shared" si="0"/>
        <v>523.08157499779293</v>
      </c>
      <c r="O4" s="17">
        <f t="shared" si="1"/>
        <v>3.6803544890932072</v>
      </c>
    </row>
    <row r="5" spans="2:15">
      <c r="B5" t="s">
        <v>16</v>
      </c>
      <c r="C5">
        <v>2.5</v>
      </c>
      <c r="D5">
        <v>24</v>
      </c>
      <c r="E5">
        <v>525</v>
      </c>
      <c r="G5" t="s">
        <v>60</v>
      </c>
      <c r="H5">
        <v>0.98928820282730667</v>
      </c>
      <c r="J5" s="29" t="s">
        <v>17</v>
      </c>
      <c r="K5" s="1">
        <v>3.4</v>
      </c>
      <c r="L5" s="1">
        <v>28</v>
      </c>
      <c r="M5" s="17">
        <v>670</v>
      </c>
      <c r="N5" s="15">
        <f t="shared" si="0"/>
        <v>660.08960889909076</v>
      </c>
      <c r="O5" s="17">
        <f t="shared" si="1"/>
        <v>98.215851772980997</v>
      </c>
    </row>
    <row r="6" spans="2:15" ht="15" thickBot="1">
      <c r="B6" t="s">
        <v>17</v>
      </c>
      <c r="C6">
        <v>3.4</v>
      </c>
      <c r="D6">
        <v>28</v>
      </c>
      <c r="E6">
        <v>670</v>
      </c>
      <c r="G6" t="s">
        <v>61</v>
      </c>
      <c r="H6">
        <v>0.97869114825328229</v>
      </c>
      <c r="J6" s="30" t="s">
        <v>18</v>
      </c>
      <c r="K6" s="18">
        <v>2.2000000000000002</v>
      </c>
      <c r="L6" s="18">
        <v>23</v>
      </c>
      <c r="M6" s="19">
        <v>490</v>
      </c>
      <c r="N6" s="67">
        <f t="shared" si="0"/>
        <v>482.25655513375125</v>
      </c>
      <c r="O6" s="19">
        <f t="shared" si="1"/>
        <v>59.960938396634141</v>
      </c>
    </row>
    <row r="7" spans="2:15" ht="15" thickBot="1">
      <c r="B7" t="s">
        <v>18</v>
      </c>
      <c r="C7">
        <v>2.2000000000000002</v>
      </c>
      <c r="D7">
        <v>23</v>
      </c>
      <c r="E7">
        <v>490</v>
      </c>
      <c r="G7" t="s">
        <v>62</v>
      </c>
      <c r="H7">
        <v>0.95738229650656459</v>
      </c>
      <c r="O7" s="60">
        <f>SUM(O2:O6)</f>
        <v>392.50904917453994</v>
      </c>
    </row>
    <row r="8" spans="2:15" ht="15" thickBot="1">
      <c r="G8" t="s">
        <v>63</v>
      </c>
      <c r="H8">
        <v>14.009087214635695</v>
      </c>
      <c r="J8" s="24" t="s">
        <v>8</v>
      </c>
      <c r="K8" s="25" t="s">
        <v>56</v>
      </c>
      <c r="L8" s="26" t="s">
        <v>57</v>
      </c>
      <c r="M8" s="64" t="s">
        <v>42</v>
      </c>
    </row>
    <row r="9" spans="2:15" ht="15" thickBot="1">
      <c r="C9" t="s">
        <v>82</v>
      </c>
      <c r="D9" t="s">
        <v>83</v>
      </c>
      <c r="G9" s="56" t="s">
        <v>64</v>
      </c>
      <c r="H9" s="56">
        <v>5</v>
      </c>
      <c r="J9" s="61" t="s">
        <v>84</v>
      </c>
      <c r="K9" s="62">
        <v>3.5</v>
      </c>
      <c r="L9" s="63">
        <v>29</v>
      </c>
      <c r="M9" s="65">
        <f>$H$18+$H$19*K9+$H$20*L9</f>
        <v>683.38659839321986</v>
      </c>
    </row>
    <row r="10" spans="2:15" ht="15" thickBot="1">
      <c r="B10" s="57"/>
      <c r="C10" s="57" t="s">
        <v>56</v>
      </c>
      <c r="D10" s="57" t="s">
        <v>57</v>
      </c>
      <c r="E10" s="57" t="s">
        <v>10</v>
      </c>
      <c r="J10" s="30" t="s">
        <v>85</v>
      </c>
      <c r="K10" s="18">
        <v>2.6</v>
      </c>
      <c r="L10" s="19">
        <v>37</v>
      </c>
      <c r="M10" s="66">
        <f>$H$18+$H$19*K10+$H$20*L10</f>
        <v>720.77425620199529</v>
      </c>
    </row>
    <row r="11" spans="2:15" ht="15" thickBot="1">
      <c r="B11" t="s">
        <v>56</v>
      </c>
      <c r="C11">
        <v>1</v>
      </c>
      <c r="G11" t="s">
        <v>65</v>
      </c>
    </row>
    <row r="12" spans="2:15">
      <c r="B12" t="s">
        <v>57</v>
      </c>
      <c r="C12">
        <v>0.370743176051961</v>
      </c>
      <c r="D12">
        <v>1</v>
      </c>
      <c r="G12" s="57"/>
      <c r="H12" s="57" t="s">
        <v>69</v>
      </c>
      <c r="I12" s="57" t="s">
        <v>70</v>
      </c>
      <c r="J12" s="57" t="s">
        <v>71</v>
      </c>
      <c r="K12" s="57" t="s">
        <v>19</v>
      </c>
      <c r="L12" s="57" t="s">
        <v>72</v>
      </c>
    </row>
    <row r="13" spans="2:15" ht="15" thickBot="1">
      <c r="B13" s="56" t="s">
        <v>10</v>
      </c>
      <c r="C13" s="56">
        <v>0.84476908232675274</v>
      </c>
      <c r="D13" s="56">
        <v>0.7913390215117152</v>
      </c>
      <c r="E13" s="56">
        <v>1</v>
      </c>
      <c r="G13" t="s">
        <v>66</v>
      </c>
      <c r="H13">
        <v>2</v>
      </c>
      <c r="I13">
        <v>18027.49095082546</v>
      </c>
      <c r="J13">
        <v>9013.7454754127302</v>
      </c>
      <c r="K13">
        <v>45.928854350588743</v>
      </c>
      <c r="L13">
        <v>2.1308851746717622E-2</v>
      </c>
    </row>
    <row r="14" spans="2:15">
      <c r="G14" t="s">
        <v>67</v>
      </c>
      <c r="H14">
        <v>2</v>
      </c>
      <c r="I14" s="59">
        <v>392.50904917453863</v>
      </c>
      <c r="J14">
        <v>196.25452458726932</v>
      </c>
    </row>
    <row r="15" spans="2:15" ht="15" thickBot="1">
      <c r="G15" s="56" t="s">
        <v>68</v>
      </c>
      <c r="H15" s="56">
        <v>4</v>
      </c>
      <c r="I15" s="56">
        <v>18420</v>
      </c>
      <c r="J15" s="56"/>
      <c r="K15" s="56"/>
      <c r="L15" s="56"/>
    </row>
    <row r="16" spans="2:15" ht="15" thickBot="1"/>
    <row r="17" spans="3:15">
      <c r="G17" s="57"/>
      <c r="H17" s="57" t="s">
        <v>73</v>
      </c>
      <c r="I17" s="57" t="s">
        <v>63</v>
      </c>
      <c r="J17" s="57" t="s">
        <v>74</v>
      </c>
      <c r="K17" s="57" t="s">
        <v>75</v>
      </c>
      <c r="L17" s="57" t="s">
        <v>76</v>
      </c>
      <c r="M17" s="57" t="s">
        <v>77</v>
      </c>
      <c r="N17" s="57" t="s">
        <v>78</v>
      </c>
      <c r="O17" s="57" t="s">
        <v>79</v>
      </c>
    </row>
    <row r="18" spans="3:15">
      <c r="G18" t="s">
        <v>39</v>
      </c>
      <c r="H18">
        <v>-44.81018804626126</v>
      </c>
      <c r="I18">
        <v>69.246866630890381</v>
      </c>
      <c r="J18">
        <v>-0.64710780756499753</v>
      </c>
      <c r="K18">
        <v>0.58391574508017841</v>
      </c>
      <c r="L18">
        <v>-342.75540778225883</v>
      </c>
      <c r="M18">
        <v>253.13503168973631</v>
      </c>
      <c r="N18">
        <v>-342.75540778225883</v>
      </c>
      <c r="O18">
        <v>253.13503168973631</v>
      </c>
    </row>
    <row r="19" spans="3:15">
      <c r="G19" t="s">
        <v>56</v>
      </c>
      <c r="H19">
        <v>87.640151849563026</v>
      </c>
      <c r="I19">
        <v>15.237186664924886</v>
      </c>
      <c r="J19">
        <v>5.7517279125618073</v>
      </c>
      <c r="K19">
        <v>2.8922600815111749E-2</v>
      </c>
      <c r="L19">
        <v>22.079829052021836</v>
      </c>
      <c r="M19">
        <v>153.20047464710422</v>
      </c>
      <c r="N19">
        <v>22.079829052021836</v>
      </c>
      <c r="O19">
        <v>153.20047464710422</v>
      </c>
    </row>
    <row r="20" spans="3:15" ht="15" thickBot="1">
      <c r="G20" s="56" t="s">
        <v>57</v>
      </c>
      <c r="H20" s="56">
        <v>14.532974309172776</v>
      </c>
      <c r="I20" s="56">
        <v>2.9137375361504319</v>
      </c>
      <c r="J20" s="56">
        <v>4.9877431061870565</v>
      </c>
      <c r="K20" s="56">
        <v>3.7924876930238542E-2</v>
      </c>
      <c r="L20" s="56">
        <v>1.9961735454816427</v>
      </c>
      <c r="M20" s="56">
        <v>27.069775072863909</v>
      </c>
      <c r="N20" s="56">
        <v>1.9961735454816427</v>
      </c>
      <c r="O20" s="56">
        <v>27.069775072863909</v>
      </c>
    </row>
    <row r="23" spans="3:15" ht="29">
      <c r="C23" s="78" t="s">
        <v>86</v>
      </c>
      <c r="D23" s="78" t="s">
        <v>87</v>
      </c>
      <c r="E23" s="78" t="s">
        <v>88</v>
      </c>
      <c r="F23" s="78" t="s">
        <v>89</v>
      </c>
      <c r="G23" s="78" t="s">
        <v>87</v>
      </c>
      <c r="H23" s="78" t="s">
        <v>88</v>
      </c>
      <c r="I23" s="78" t="s">
        <v>89</v>
      </c>
    </row>
    <row r="24" spans="3:15">
      <c r="C24" s="77">
        <v>39</v>
      </c>
      <c r="D24" s="77">
        <v>192</v>
      </c>
      <c r="E24" s="77">
        <v>1.2</v>
      </c>
      <c r="F24" s="77">
        <v>12.2</v>
      </c>
      <c r="G24" s="77">
        <f>D24-D$32</f>
        <v>-1.25</v>
      </c>
      <c r="H24" s="77">
        <f t="shared" ref="H24:I31" si="2">E24-E$32</f>
        <v>-0.11250000000000004</v>
      </c>
      <c r="I24" s="77">
        <f t="shared" si="2"/>
        <v>-0.88749999999999929</v>
      </c>
    </row>
    <row r="25" spans="3:15">
      <c r="C25" s="77">
        <v>29</v>
      </c>
      <c r="D25" s="77">
        <v>199</v>
      </c>
      <c r="E25" s="77">
        <v>1.4</v>
      </c>
      <c r="F25" s="77">
        <v>13.8</v>
      </c>
      <c r="G25" s="77">
        <f>D25-D$32</f>
        <v>5.75</v>
      </c>
      <c r="H25" s="77">
        <f t="shared" si="2"/>
        <v>8.7499999999999911E-2</v>
      </c>
      <c r="I25" s="77">
        <f t="shared" si="2"/>
        <v>0.71250000000000213</v>
      </c>
    </row>
    <row r="26" spans="3:15">
      <c r="C26" s="77">
        <v>39</v>
      </c>
      <c r="D26" s="77">
        <v>196</v>
      </c>
      <c r="E26" s="77">
        <v>1.5</v>
      </c>
      <c r="F26" s="77">
        <v>12.8</v>
      </c>
      <c r="G26" s="77">
        <f t="shared" ref="G26:G31" si="3">D26-D$32</f>
        <v>2.75</v>
      </c>
      <c r="H26" s="77">
        <f t="shared" si="2"/>
        <v>0.1875</v>
      </c>
      <c r="I26" s="77">
        <f t="shared" si="2"/>
        <v>-0.28749999999999787</v>
      </c>
    </row>
    <row r="27" spans="3:15">
      <c r="C27" s="77">
        <v>39</v>
      </c>
      <c r="D27" s="77">
        <v>208</v>
      </c>
      <c r="E27" s="77">
        <v>1.3</v>
      </c>
      <c r="F27" s="77">
        <v>12.6</v>
      </c>
      <c r="G27" s="77">
        <f t="shared" si="3"/>
        <v>14.75</v>
      </c>
      <c r="H27" s="77">
        <f t="shared" si="2"/>
        <v>-1.2499999999999956E-2</v>
      </c>
      <c r="I27" s="77">
        <f t="shared" si="2"/>
        <v>-0.48749999999999893</v>
      </c>
    </row>
    <row r="28" spans="3:15">
      <c r="C28" s="77">
        <v>35</v>
      </c>
      <c r="D28" s="77">
        <v>202</v>
      </c>
      <c r="E28" s="77">
        <v>1.2</v>
      </c>
      <c r="F28" s="77">
        <v>13.1</v>
      </c>
      <c r="G28" s="77">
        <f t="shared" si="3"/>
        <v>8.75</v>
      </c>
      <c r="H28" s="77">
        <f t="shared" si="2"/>
        <v>-0.11250000000000004</v>
      </c>
      <c r="I28" s="77">
        <f t="shared" si="2"/>
        <v>1.2500000000001066E-2</v>
      </c>
    </row>
    <row r="29" spans="3:15">
      <c r="C29" s="77">
        <v>32</v>
      </c>
      <c r="D29" s="77">
        <v>186</v>
      </c>
      <c r="E29" s="77">
        <v>1.4</v>
      </c>
      <c r="F29" s="77">
        <v>13.6</v>
      </c>
      <c r="G29" s="77">
        <f t="shared" si="3"/>
        <v>-7.25</v>
      </c>
      <c r="H29" s="77">
        <f t="shared" si="2"/>
        <v>8.7499999999999911E-2</v>
      </c>
      <c r="I29" s="77">
        <f t="shared" si="2"/>
        <v>0.51250000000000107</v>
      </c>
    </row>
    <row r="30" spans="3:15">
      <c r="C30" s="77">
        <v>33</v>
      </c>
      <c r="D30" s="77">
        <v>183</v>
      </c>
      <c r="E30" s="77">
        <v>1.2</v>
      </c>
      <c r="F30" s="77">
        <v>13.1</v>
      </c>
      <c r="G30" s="77">
        <f t="shared" si="3"/>
        <v>-10.25</v>
      </c>
      <c r="H30" s="77">
        <f t="shared" si="2"/>
        <v>-0.11250000000000004</v>
      </c>
      <c r="I30" s="77">
        <f t="shared" si="2"/>
        <v>1.2500000000001066E-2</v>
      </c>
    </row>
    <row r="31" spans="3:15">
      <c r="C31" s="77">
        <v>30</v>
      </c>
      <c r="D31" s="77">
        <v>180</v>
      </c>
      <c r="E31" s="77">
        <v>1.3</v>
      </c>
      <c r="F31" s="77">
        <v>13.5</v>
      </c>
      <c r="G31" s="77">
        <f t="shared" si="3"/>
        <v>-13.25</v>
      </c>
      <c r="H31" s="77">
        <f t="shared" si="2"/>
        <v>-1.2499999999999956E-2</v>
      </c>
      <c r="I31" s="77">
        <f t="shared" si="2"/>
        <v>0.41250000000000142</v>
      </c>
    </row>
    <row r="32" spans="3:15">
      <c r="D32">
        <f t="shared" ref="D32:F32" si="4">AVERAGE(D24:D31)</f>
        <v>193.25</v>
      </c>
      <c r="E32">
        <f t="shared" si="4"/>
        <v>1.3125</v>
      </c>
      <c r="F32">
        <f t="shared" si="4"/>
        <v>13.087499999999999</v>
      </c>
    </row>
    <row r="34" spans="3:8" ht="17.5">
      <c r="C34" s="79" t="s">
        <v>90</v>
      </c>
    </row>
    <row r="36" spans="3:8">
      <c r="C36" t="s">
        <v>58</v>
      </c>
    </row>
    <row r="37" spans="3:8" ht="15" thickBot="1"/>
    <row r="38" spans="3:8">
      <c r="C38" s="58" t="s">
        <v>59</v>
      </c>
      <c r="D38" s="58"/>
    </row>
    <row r="39" spans="3:8">
      <c r="C39" t="s">
        <v>60</v>
      </c>
      <c r="D39">
        <v>0.97702096639963076</v>
      </c>
    </row>
    <row r="40" spans="3:8">
      <c r="C40" t="s">
        <v>61</v>
      </c>
      <c r="D40">
        <v>0.95456996878446843</v>
      </c>
    </row>
    <row r="41" spans="3:8">
      <c r="C41" t="s">
        <v>62</v>
      </c>
      <c r="D41">
        <v>0.92049744537281963</v>
      </c>
    </row>
    <row r="42" spans="3:8">
      <c r="C42" t="s">
        <v>63</v>
      </c>
      <c r="D42">
        <v>1.1674334826729733</v>
      </c>
    </row>
    <row r="43" spans="3:8" ht="15" thickBot="1">
      <c r="C43" s="56" t="s">
        <v>64</v>
      </c>
      <c r="D43" s="56">
        <v>8</v>
      </c>
    </row>
    <row r="45" spans="3:8" ht="15" thickBot="1">
      <c r="C45" t="s">
        <v>65</v>
      </c>
    </row>
    <row r="46" spans="3:8">
      <c r="C46" s="57"/>
      <c r="D46" s="57" t="s">
        <v>69</v>
      </c>
      <c r="E46" s="57" t="s">
        <v>70</v>
      </c>
      <c r="F46" s="57" t="s">
        <v>71</v>
      </c>
      <c r="G46" s="57" t="s">
        <v>19</v>
      </c>
      <c r="H46" s="57" t="s">
        <v>72</v>
      </c>
    </row>
    <row r="47" spans="3:8">
      <c r="C47" t="s">
        <v>66</v>
      </c>
      <c r="D47">
        <v>3</v>
      </c>
      <c r="E47">
        <v>114.54839625413621</v>
      </c>
      <c r="F47">
        <v>38.182798751378733</v>
      </c>
      <c r="G47">
        <v>28.015828392038639</v>
      </c>
      <c r="H47">
        <v>3.8106794853956546E-3</v>
      </c>
    </row>
    <row r="48" spans="3:8">
      <c r="C48" t="s">
        <v>67</v>
      </c>
      <c r="D48">
        <v>4</v>
      </c>
      <c r="E48">
        <v>5.4516037458637889</v>
      </c>
      <c r="F48">
        <v>1.3629009364659472</v>
      </c>
    </row>
    <row r="49" spans="3:11" ht="15" thickBot="1">
      <c r="C49" s="56" t="s">
        <v>68</v>
      </c>
      <c r="D49" s="56">
        <v>7</v>
      </c>
      <c r="E49" s="56">
        <v>120</v>
      </c>
      <c r="F49" s="56"/>
      <c r="G49" s="56"/>
      <c r="H49" s="56"/>
    </row>
    <row r="50" spans="3:11" ht="15" thickBot="1"/>
    <row r="51" spans="3:11">
      <c r="C51" s="57"/>
      <c r="D51" s="57" t="s">
        <v>73</v>
      </c>
      <c r="E51" s="57" t="s">
        <v>63</v>
      </c>
      <c r="F51" s="57" t="s">
        <v>74</v>
      </c>
      <c r="G51" s="57" t="s">
        <v>75</v>
      </c>
      <c r="H51" s="57" t="s">
        <v>76</v>
      </c>
      <c r="I51" s="57" t="s">
        <v>77</v>
      </c>
      <c r="J51" s="57" t="s">
        <v>78</v>
      </c>
      <c r="K51" s="57" t="s">
        <v>79</v>
      </c>
    </row>
    <row r="52" spans="3:11">
      <c r="C52" t="s">
        <v>39</v>
      </c>
      <c r="D52">
        <v>106.47245945254261</v>
      </c>
      <c r="E52">
        <v>16.788994264807879</v>
      </c>
      <c r="F52">
        <v>6.3418009306086924</v>
      </c>
      <c r="G52">
        <v>3.1661710799404785E-3</v>
      </c>
      <c r="H52">
        <v>59.858738504822945</v>
      </c>
      <c r="I52">
        <v>153.08618040026226</v>
      </c>
      <c r="J52">
        <v>59.858738504822945</v>
      </c>
      <c r="K52">
        <v>153.08618040026226</v>
      </c>
    </row>
    <row r="53" spans="3:11">
      <c r="C53" t="s">
        <v>87</v>
      </c>
      <c r="D53">
        <v>6.5812688263095817E-2</v>
      </c>
      <c r="E53">
        <v>4.8976823299058676E-2</v>
      </c>
      <c r="F53">
        <v>1.3437516733422097</v>
      </c>
      <c r="G53">
        <v>0.25019079703838232</v>
      </c>
      <c r="H53">
        <v>-7.0168773053712899E-2</v>
      </c>
      <c r="I53">
        <v>0.20179414957990455</v>
      </c>
      <c r="J53">
        <v>-7.0168773053712899E-2</v>
      </c>
      <c r="K53">
        <v>0.20179414957990455</v>
      </c>
    </row>
    <row r="54" spans="3:11">
      <c r="C54" t="s">
        <v>88</v>
      </c>
      <c r="D54">
        <v>9.3003211519449032</v>
      </c>
      <c r="E54">
        <v>4.3052812041453157</v>
      </c>
      <c r="F54">
        <v>2.1602122395605985</v>
      </c>
      <c r="G54">
        <v>9.6866056507939668E-2</v>
      </c>
      <c r="H54">
        <v>-2.6530557738044198</v>
      </c>
      <c r="I54">
        <v>21.253698077694224</v>
      </c>
      <c r="J54">
        <v>-2.6530557738044198</v>
      </c>
      <c r="K54">
        <v>21.253698077694224</v>
      </c>
    </row>
    <row r="55" spans="3:11" ht="15" thickBot="1">
      <c r="C55" s="56" t="s">
        <v>89</v>
      </c>
      <c r="D55" s="56">
        <v>-7.4038153177699009</v>
      </c>
      <c r="E55" s="56">
        <v>0.94329664825259574</v>
      </c>
      <c r="F55" s="56">
        <v>-7.8488727077373319</v>
      </c>
      <c r="G55" s="56">
        <v>1.4234006520302469E-3</v>
      </c>
      <c r="H55" s="56">
        <v>-10.022826679560305</v>
      </c>
      <c r="I55" s="56">
        <v>-4.7848039559794966</v>
      </c>
      <c r="J55" s="56">
        <v>-10.022826679560305</v>
      </c>
      <c r="K55" s="56">
        <v>-4.7848039559794966</v>
      </c>
    </row>
  </sheetData>
  <pageMargins left="0.7" right="0.7" top="0.75" bottom="0.75" header="0.3" footer="0.3"/>
  <pageSetup paperSize="9" orientation="portrait" horizontalDpi="30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D6BC0-2FCB-42E7-B2F1-30B6E2DD5F11}">
  <sheetPr>
    <tabColor rgb="FFFFFF00"/>
  </sheetPr>
  <dimension ref="A2:N9"/>
  <sheetViews>
    <sheetView zoomScale="110" zoomScaleNormal="110" workbookViewId="0">
      <selection activeCell="L5" sqref="L5"/>
    </sheetView>
  </sheetViews>
  <sheetFormatPr defaultRowHeight="12.5"/>
  <cols>
    <col min="1" max="1" width="9.81640625" style="6" bestFit="1" customWidth="1"/>
    <col min="2" max="2" width="11.26953125" style="6" bestFit="1" customWidth="1"/>
    <col min="3" max="3" width="11.7265625" style="6" bestFit="1" customWidth="1"/>
    <col min="4" max="5" width="8.453125" style="6" bestFit="1" customWidth="1"/>
    <col min="6" max="7" width="8.7265625" style="6"/>
    <col min="8" max="8" width="15" style="6" bestFit="1" customWidth="1"/>
    <col min="9" max="9" width="13.453125" style="6" customWidth="1"/>
    <col min="10" max="10" width="11.7265625" style="6" bestFit="1" customWidth="1"/>
    <col min="11" max="14" width="8.453125" style="6" bestFit="1" customWidth="1"/>
    <col min="15" max="16384" width="8.7265625" style="6"/>
  </cols>
  <sheetData>
    <row r="2" spans="1:14" ht="14.5">
      <c r="A2" s="231" t="s">
        <v>53</v>
      </c>
      <c r="B2" s="231"/>
      <c r="C2" s="232"/>
      <c r="D2" s="12">
        <v>50</v>
      </c>
      <c r="E2" s="11"/>
      <c r="H2" s="13" t="s">
        <v>53</v>
      </c>
      <c r="I2" s="13"/>
      <c r="J2" s="233"/>
      <c r="K2" s="234"/>
      <c r="L2" s="12">
        <v>50</v>
      </c>
      <c r="M2" s="12">
        <v>60</v>
      </c>
      <c r="N2" s="12">
        <v>70</v>
      </c>
    </row>
    <row r="3" spans="1:14">
      <c r="B3" s="11"/>
      <c r="C3" s="11"/>
      <c r="D3" s="11"/>
      <c r="E3" s="11"/>
      <c r="I3" s="11"/>
      <c r="J3" s="11"/>
      <c r="K3" s="11"/>
      <c r="L3" s="11"/>
    </row>
    <row r="4" spans="1:14" ht="14.5">
      <c r="A4" s="10" t="s">
        <v>52</v>
      </c>
      <c r="B4" s="10" t="s">
        <v>51</v>
      </c>
      <c r="C4" s="10" t="s">
        <v>50</v>
      </c>
      <c r="D4" s="10" t="s">
        <v>49</v>
      </c>
      <c r="E4" s="10" t="s">
        <v>48</v>
      </c>
      <c r="H4" s="10" t="s">
        <v>52</v>
      </c>
      <c r="I4" s="10" t="s">
        <v>51</v>
      </c>
      <c r="J4" s="10" t="s">
        <v>50</v>
      </c>
      <c r="K4" s="10" t="s">
        <v>49</v>
      </c>
      <c r="L4" s="10" t="s">
        <v>48</v>
      </c>
      <c r="M4" s="10" t="s">
        <v>48</v>
      </c>
      <c r="N4" s="10" t="s">
        <v>48</v>
      </c>
    </row>
    <row r="5" spans="1:14" ht="14.5">
      <c r="A5" s="9" t="s">
        <v>47</v>
      </c>
      <c r="B5" s="8">
        <v>234</v>
      </c>
      <c r="C5" s="8">
        <v>500</v>
      </c>
      <c r="D5" s="8">
        <v>300</v>
      </c>
      <c r="E5" s="7">
        <f>$B5*$D$2+$C5+$D5</f>
        <v>12500</v>
      </c>
      <c r="H5" s="9" t="s">
        <v>47</v>
      </c>
      <c r="I5" s="8">
        <v>234</v>
      </c>
      <c r="J5" s="8">
        <v>500</v>
      </c>
      <c r="K5" s="8">
        <v>300</v>
      </c>
      <c r="L5" s="7">
        <f t="shared" ref="L5:N9" si="0">$I5*L$2+$J5+$K5</f>
        <v>12500</v>
      </c>
      <c r="M5" s="7">
        <f t="shared" si="0"/>
        <v>14840</v>
      </c>
      <c r="N5" s="7">
        <f t="shared" si="0"/>
        <v>17180</v>
      </c>
    </row>
    <row r="6" spans="1:14" ht="14.5">
      <c r="A6" s="9" t="s">
        <v>46</v>
      </c>
      <c r="B6" s="8">
        <v>46</v>
      </c>
      <c r="C6" s="8">
        <v>1000</v>
      </c>
      <c r="D6" s="8">
        <v>500</v>
      </c>
      <c r="E6" s="7">
        <f>$B6*$D$2+$C6+$D6</f>
        <v>3800</v>
      </c>
      <c r="H6" s="9" t="s">
        <v>46</v>
      </c>
      <c r="I6" s="8">
        <v>46</v>
      </c>
      <c r="J6" s="8">
        <v>1000</v>
      </c>
      <c r="K6" s="8">
        <v>500</v>
      </c>
      <c r="L6" s="7">
        <f t="shared" si="0"/>
        <v>3800</v>
      </c>
      <c r="M6" s="7">
        <f t="shared" si="0"/>
        <v>4260</v>
      </c>
      <c r="N6" s="7">
        <f t="shared" si="0"/>
        <v>4720</v>
      </c>
    </row>
    <row r="7" spans="1:14" ht="14.5">
      <c r="A7" s="9" t="s">
        <v>45</v>
      </c>
      <c r="B7" s="8">
        <v>576</v>
      </c>
      <c r="C7" s="8">
        <v>750</v>
      </c>
      <c r="D7" s="8">
        <v>400</v>
      </c>
      <c r="E7" s="7">
        <f>$B7*$D$2+$C7+$D7</f>
        <v>29950</v>
      </c>
      <c r="H7" s="9" t="s">
        <v>45</v>
      </c>
      <c r="I7" s="8">
        <v>576</v>
      </c>
      <c r="J7" s="8">
        <v>750</v>
      </c>
      <c r="K7" s="8">
        <v>400</v>
      </c>
      <c r="L7" s="7">
        <f t="shared" si="0"/>
        <v>29950</v>
      </c>
      <c r="M7" s="7">
        <f t="shared" si="0"/>
        <v>35710</v>
      </c>
      <c r="N7" s="7">
        <f t="shared" si="0"/>
        <v>41470</v>
      </c>
    </row>
    <row r="8" spans="1:14" ht="14.5">
      <c r="A8" s="9" t="s">
        <v>44</v>
      </c>
      <c r="B8" s="8">
        <v>23</v>
      </c>
      <c r="C8" s="8">
        <v>350</v>
      </c>
      <c r="D8" s="8">
        <v>200</v>
      </c>
      <c r="E8" s="7">
        <f>$B8*$D$2+$C8+$D8</f>
        <v>1700</v>
      </c>
      <c r="H8" s="9" t="s">
        <v>44</v>
      </c>
      <c r="I8" s="8">
        <v>23</v>
      </c>
      <c r="J8" s="8">
        <v>350</v>
      </c>
      <c r="K8" s="8">
        <v>200</v>
      </c>
      <c r="L8" s="7">
        <f t="shared" si="0"/>
        <v>1700</v>
      </c>
      <c r="M8" s="7">
        <f t="shared" si="0"/>
        <v>1930</v>
      </c>
      <c r="N8" s="7">
        <f t="shared" si="0"/>
        <v>2160</v>
      </c>
    </row>
    <row r="9" spans="1:14" ht="14.5">
      <c r="A9" s="9" t="s">
        <v>43</v>
      </c>
      <c r="B9" s="8">
        <v>45</v>
      </c>
      <c r="C9" s="8">
        <v>450</v>
      </c>
      <c r="D9" s="8">
        <v>500</v>
      </c>
      <c r="E9" s="7">
        <f>$B9*$D$2+$C9+$D9</f>
        <v>3200</v>
      </c>
      <c r="H9" s="9" t="s">
        <v>43</v>
      </c>
      <c r="I9" s="8">
        <v>45</v>
      </c>
      <c r="J9" s="8">
        <v>450</v>
      </c>
      <c r="K9" s="8">
        <v>500</v>
      </c>
      <c r="L9" s="7">
        <f t="shared" si="0"/>
        <v>3200</v>
      </c>
      <c r="M9" s="7">
        <f t="shared" si="0"/>
        <v>3650</v>
      </c>
      <c r="N9" s="7">
        <f t="shared" si="0"/>
        <v>4100</v>
      </c>
    </row>
  </sheetData>
  <mergeCells count="2">
    <mergeCell ref="A2:C2"/>
    <mergeCell ref="J2:K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453D8-A940-4D81-BD8D-96795D8C11B3}">
  <dimension ref="B3:U46"/>
  <sheetViews>
    <sheetView zoomScale="80" zoomScaleNormal="80" workbookViewId="0">
      <selection activeCell="R16" sqref="R16"/>
    </sheetView>
  </sheetViews>
  <sheetFormatPr defaultRowHeight="14.5"/>
  <cols>
    <col min="2" max="2" width="12.90625" customWidth="1"/>
    <col min="7" max="7" width="14.1796875" bestFit="1" customWidth="1"/>
    <col min="18" max="18" width="13.54296875" customWidth="1"/>
    <col min="19" max="19" width="20.26953125" customWidth="1"/>
    <col min="20" max="20" width="11" customWidth="1"/>
  </cols>
  <sheetData>
    <row r="3" spans="2:19">
      <c r="B3" s="82" t="s">
        <v>95</v>
      </c>
      <c r="C3" s="82" t="s">
        <v>91</v>
      </c>
      <c r="D3" s="82" t="s">
        <v>92</v>
      </c>
      <c r="E3" s="82" t="s">
        <v>93</v>
      </c>
      <c r="F3" s="82" t="s">
        <v>94</v>
      </c>
      <c r="G3" s="82" t="s">
        <v>96</v>
      </c>
      <c r="H3" s="82" t="s">
        <v>97</v>
      </c>
      <c r="I3" s="82" t="s">
        <v>105</v>
      </c>
      <c r="J3" s="82" t="s">
        <v>116</v>
      </c>
      <c r="K3" s="82" t="s">
        <v>117</v>
      </c>
      <c r="L3" s="82" t="s">
        <v>118</v>
      </c>
      <c r="M3" s="82" t="s">
        <v>119</v>
      </c>
      <c r="N3" s="82" t="s">
        <v>125</v>
      </c>
      <c r="O3" s="82" t="s">
        <v>123</v>
      </c>
      <c r="P3" s="82" t="s">
        <v>124</v>
      </c>
      <c r="R3" s="88">
        <v>0.14000000000000001</v>
      </c>
      <c r="S3" s="86" t="s">
        <v>103</v>
      </c>
    </row>
    <row r="4" spans="2:19">
      <c r="B4" s="83">
        <v>1</v>
      </c>
      <c r="C4" s="84">
        <v>15.85</v>
      </c>
      <c r="D4" s="84">
        <v>16.02</v>
      </c>
      <c r="E4" s="84">
        <v>15.83</v>
      </c>
      <c r="F4" s="84">
        <v>15.93</v>
      </c>
      <c r="G4" s="84">
        <f>AVERAGE(C4:F4)</f>
        <v>15.907499999999999</v>
      </c>
      <c r="H4" s="84">
        <f>MAX(C4:F4)-MIN(C4:F4)</f>
        <v>0.1899999999999995</v>
      </c>
      <c r="I4" s="84">
        <f>$R$4</f>
        <v>15.946900000000003</v>
      </c>
      <c r="J4" s="84">
        <f>$R$10</f>
        <v>16.156900000000004</v>
      </c>
      <c r="K4" s="84">
        <f>$R$11</f>
        <v>15.736900000000002</v>
      </c>
      <c r="L4" s="84">
        <f>$R$13</f>
        <v>16.156264000000004</v>
      </c>
      <c r="M4" s="84">
        <f>$R$14</f>
        <v>15.737536000000002</v>
      </c>
      <c r="N4" s="84">
        <f>$R$5</f>
        <v>0.28680000000000017</v>
      </c>
      <c r="O4" s="84">
        <f>$R$17</f>
        <v>0.65390400000000037</v>
      </c>
      <c r="P4" s="84">
        <f>$R$18</f>
        <v>0</v>
      </c>
      <c r="R4" s="85">
        <f>AVERAGE(G4:G28)</f>
        <v>15.946900000000003</v>
      </c>
      <c r="S4" s="87" t="s">
        <v>99</v>
      </c>
    </row>
    <row r="5" spans="2:19">
      <c r="B5" s="83">
        <v>2</v>
      </c>
      <c r="C5" s="84">
        <v>16.12</v>
      </c>
      <c r="D5" s="84">
        <v>16</v>
      </c>
      <c r="E5" s="84">
        <v>15.85</v>
      </c>
      <c r="F5" s="84">
        <v>16.010000000000002</v>
      </c>
      <c r="G5" s="84">
        <f t="shared" ref="G5:G28" si="0">AVERAGE(C5:F5)</f>
        <v>15.995000000000001</v>
      </c>
      <c r="H5" s="84">
        <f t="shared" ref="H5:H28" si="1">MAX(C5:F5)-MIN(C5:F5)</f>
        <v>0.27000000000000135</v>
      </c>
      <c r="I5" s="84">
        <f t="shared" ref="I5:I28" si="2">$R$4</f>
        <v>15.946900000000003</v>
      </c>
      <c r="J5" s="84">
        <f t="shared" ref="J5:J28" si="3">$R$10</f>
        <v>16.156900000000004</v>
      </c>
      <c r="K5" s="84">
        <f t="shared" ref="K5:K28" si="4">$R$11</f>
        <v>15.736900000000002</v>
      </c>
      <c r="L5" s="84">
        <f t="shared" ref="L5:L28" si="5">$R$13</f>
        <v>16.156264000000004</v>
      </c>
      <c r="M5" s="84">
        <f t="shared" ref="M5:M28" si="6">$R$14</f>
        <v>15.737536000000002</v>
      </c>
      <c r="N5" s="84">
        <f t="shared" ref="N5:N28" si="7">$R$5</f>
        <v>0.28680000000000017</v>
      </c>
      <c r="O5" s="84">
        <f t="shared" ref="O5:O28" si="8">$R$17</f>
        <v>0.65390400000000037</v>
      </c>
      <c r="P5" s="84">
        <f t="shared" ref="P5:P28" si="9">$R$18</f>
        <v>0</v>
      </c>
      <c r="R5" s="85">
        <f>AVERAGE(H4:H28)</f>
        <v>0.28680000000000017</v>
      </c>
      <c r="S5" s="86" t="s">
        <v>98</v>
      </c>
    </row>
    <row r="6" spans="2:19">
      <c r="B6" s="83">
        <v>3</v>
      </c>
      <c r="C6" s="84">
        <v>16</v>
      </c>
      <c r="D6" s="84">
        <v>15.91</v>
      </c>
      <c r="E6" s="84">
        <v>15.94</v>
      </c>
      <c r="F6" s="84">
        <v>15.83</v>
      </c>
      <c r="G6" s="84">
        <f t="shared" si="0"/>
        <v>15.92</v>
      </c>
      <c r="H6" s="84">
        <f t="shared" si="1"/>
        <v>0.16999999999999993</v>
      </c>
      <c r="I6" s="84">
        <f t="shared" si="2"/>
        <v>15.946900000000003</v>
      </c>
      <c r="J6" s="84">
        <f t="shared" si="3"/>
        <v>16.156900000000004</v>
      </c>
      <c r="K6" s="84">
        <f t="shared" si="4"/>
        <v>15.736900000000002</v>
      </c>
      <c r="L6" s="84">
        <f t="shared" si="5"/>
        <v>16.156264000000004</v>
      </c>
      <c r="M6" s="84">
        <f t="shared" si="6"/>
        <v>15.737536000000002</v>
      </c>
      <c r="N6" s="84">
        <f t="shared" si="7"/>
        <v>0.28680000000000017</v>
      </c>
      <c r="O6" s="84">
        <f t="shared" si="8"/>
        <v>0.65390400000000037</v>
      </c>
      <c r="P6" s="84">
        <f t="shared" si="9"/>
        <v>0</v>
      </c>
      <c r="R6" s="88">
        <v>3</v>
      </c>
      <c r="S6" s="86" t="s">
        <v>100</v>
      </c>
    </row>
    <row r="7" spans="2:19">
      <c r="B7" s="83">
        <v>4</v>
      </c>
      <c r="C7" s="84">
        <v>16.2</v>
      </c>
      <c r="D7" s="84">
        <v>15.85</v>
      </c>
      <c r="E7" s="84">
        <v>15.74</v>
      </c>
      <c r="F7" s="84">
        <v>15.93</v>
      </c>
      <c r="G7" s="84">
        <f t="shared" si="0"/>
        <v>15.93</v>
      </c>
      <c r="H7" s="84">
        <f t="shared" si="1"/>
        <v>0.45999999999999908</v>
      </c>
      <c r="I7" s="84">
        <f t="shared" si="2"/>
        <v>15.946900000000003</v>
      </c>
      <c r="J7" s="84">
        <f t="shared" si="3"/>
        <v>16.156900000000004</v>
      </c>
      <c r="K7" s="84">
        <f t="shared" si="4"/>
        <v>15.736900000000002</v>
      </c>
      <c r="L7" s="84">
        <f t="shared" si="5"/>
        <v>16.156264000000004</v>
      </c>
      <c r="M7" s="84">
        <f t="shared" si="6"/>
        <v>15.737536000000002</v>
      </c>
      <c r="N7" s="84">
        <f t="shared" si="7"/>
        <v>0.28680000000000017</v>
      </c>
      <c r="O7" s="84">
        <f t="shared" si="8"/>
        <v>0.65390400000000037</v>
      </c>
      <c r="P7" s="84">
        <f t="shared" si="9"/>
        <v>0</v>
      </c>
      <c r="R7">
        <f>COUNTA(C3:F3)</f>
        <v>4</v>
      </c>
      <c r="S7" s="86" t="s">
        <v>102</v>
      </c>
    </row>
    <row r="8" spans="2:19">
      <c r="B8" s="83">
        <v>5</v>
      </c>
      <c r="C8" s="84">
        <v>15.74</v>
      </c>
      <c r="D8" s="84">
        <v>15.86</v>
      </c>
      <c r="E8" s="84">
        <v>16.21</v>
      </c>
      <c r="F8" s="84">
        <v>16.100000000000001</v>
      </c>
      <c r="G8" s="84">
        <f t="shared" si="0"/>
        <v>15.977500000000001</v>
      </c>
      <c r="H8" s="84">
        <f t="shared" si="1"/>
        <v>0.47000000000000064</v>
      </c>
      <c r="I8" s="84">
        <f t="shared" si="2"/>
        <v>15.946900000000003</v>
      </c>
      <c r="J8" s="84">
        <f t="shared" si="3"/>
        <v>16.156900000000004</v>
      </c>
      <c r="K8" s="84">
        <f t="shared" si="4"/>
        <v>15.736900000000002</v>
      </c>
      <c r="L8" s="84">
        <f t="shared" si="5"/>
        <v>16.156264000000004</v>
      </c>
      <c r="M8" s="84">
        <f t="shared" si="6"/>
        <v>15.737536000000002</v>
      </c>
      <c r="N8" s="84">
        <f t="shared" si="7"/>
        <v>0.28680000000000017</v>
      </c>
      <c r="O8" s="84">
        <f t="shared" si="8"/>
        <v>0.65390400000000037</v>
      </c>
      <c r="P8" s="84">
        <f t="shared" si="9"/>
        <v>0</v>
      </c>
      <c r="R8">
        <f>COUNT(B4:B28)</f>
        <v>25</v>
      </c>
      <c r="S8" s="86" t="s">
        <v>104</v>
      </c>
    </row>
    <row r="9" spans="2:19">
      <c r="B9" s="83">
        <v>6</v>
      </c>
      <c r="C9" s="84">
        <v>15.94</v>
      </c>
      <c r="D9" s="84">
        <v>16.010000000000002</v>
      </c>
      <c r="E9" s="84">
        <v>16.14</v>
      </c>
      <c r="F9" s="84">
        <v>16.03</v>
      </c>
      <c r="G9" s="84">
        <f t="shared" si="0"/>
        <v>16.03</v>
      </c>
      <c r="H9" s="84">
        <f t="shared" si="1"/>
        <v>0.20000000000000107</v>
      </c>
      <c r="I9" s="84">
        <f t="shared" si="2"/>
        <v>15.946900000000003</v>
      </c>
      <c r="J9" s="84">
        <f t="shared" si="3"/>
        <v>16.156900000000004</v>
      </c>
      <c r="K9" s="84">
        <f t="shared" si="4"/>
        <v>15.736900000000002</v>
      </c>
      <c r="L9" s="84">
        <f t="shared" si="5"/>
        <v>16.156264000000004</v>
      </c>
      <c r="M9" s="84">
        <f t="shared" si="6"/>
        <v>15.737536000000002</v>
      </c>
      <c r="N9" s="84">
        <f t="shared" si="7"/>
        <v>0.28680000000000017</v>
      </c>
      <c r="O9" s="84">
        <f t="shared" si="8"/>
        <v>0.65390400000000037</v>
      </c>
      <c r="P9" s="84">
        <f t="shared" si="9"/>
        <v>0</v>
      </c>
      <c r="R9">
        <f>R3/SQRT(R7)</f>
        <v>7.0000000000000007E-2</v>
      </c>
      <c r="S9" s="86" t="s">
        <v>101</v>
      </c>
    </row>
    <row r="10" spans="2:19">
      <c r="B10" s="83">
        <v>7</v>
      </c>
      <c r="C10" s="84">
        <v>15.75</v>
      </c>
      <c r="D10" s="84">
        <v>16.21</v>
      </c>
      <c r="E10" s="84">
        <v>16.010000000000002</v>
      </c>
      <c r="F10" s="84">
        <v>15.86</v>
      </c>
      <c r="G10" s="84">
        <f t="shared" si="0"/>
        <v>15.9575</v>
      </c>
      <c r="H10" s="84">
        <f t="shared" si="1"/>
        <v>0.46000000000000085</v>
      </c>
      <c r="I10" s="84">
        <f t="shared" si="2"/>
        <v>15.946900000000003</v>
      </c>
      <c r="J10" s="84">
        <f t="shared" si="3"/>
        <v>16.156900000000004</v>
      </c>
      <c r="K10" s="84">
        <f t="shared" si="4"/>
        <v>15.736900000000002</v>
      </c>
      <c r="L10" s="84">
        <f t="shared" si="5"/>
        <v>16.156264000000004</v>
      </c>
      <c r="M10" s="84">
        <f t="shared" si="6"/>
        <v>15.737536000000002</v>
      </c>
      <c r="N10" s="84">
        <f t="shared" si="7"/>
        <v>0.28680000000000017</v>
      </c>
      <c r="O10" s="84">
        <f t="shared" si="8"/>
        <v>0.65390400000000037</v>
      </c>
      <c r="P10" s="84">
        <f t="shared" si="9"/>
        <v>0</v>
      </c>
      <c r="R10">
        <f>R4+R6*R9</f>
        <v>16.156900000000004</v>
      </c>
      <c r="S10" s="86" t="s">
        <v>112</v>
      </c>
    </row>
    <row r="11" spans="2:19">
      <c r="B11" s="83">
        <v>8</v>
      </c>
      <c r="C11" s="84">
        <v>15.82</v>
      </c>
      <c r="D11" s="84">
        <v>15.94</v>
      </c>
      <c r="E11" s="84">
        <v>16.02</v>
      </c>
      <c r="F11" s="84">
        <v>15.94</v>
      </c>
      <c r="G11" s="84">
        <f t="shared" si="0"/>
        <v>15.93</v>
      </c>
      <c r="H11" s="84">
        <f t="shared" si="1"/>
        <v>0.19999999999999929</v>
      </c>
      <c r="I11" s="84">
        <f t="shared" si="2"/>
        <v>15.946900000000003</v>
      </c>
      <c r="J11" s="84">
        <f t="shared" si="3"/>
        <v>16.156900000000004</v>
      </c>
      <c r="K11" s="84">
        <f t="shared" si="4"/>
        <v>15.736900000000002</v>
      </c>
      <c r="L11" s="84">
        <f t="shared" si="5"/>
        <v>16.156264000000004</v>
      </c>
      <c r="M11" s="84">
        <f t="shared" si="6"/>
        <v>15.737536000000002</v>
      </c>
      <c r="N11" s="84">
        <f t="shared" si="7"/>
        <v>0.28680000000000017</v>
      </c>
      <c r="O11" s="84">
        <f t="shared" si="8"/>
        <v>0.65390400000000037</v>
      </c>
      <c r="P11" s="84">
        <f t="shared" si="9"/>
        <v>0</v>
      </c>
      <c r="R11">
        <f>R4-R6*R9</f>
        <v>15.736900000000002</v>
      </c>
      <c r="S11" s="86" t="s">
        <v>113</v>
      </c>
    </row>
    <row r="12" spans="2:19">
      <c r="B12" s="83">
        <v>9</v>
      </c>
      <c r="C12" s="84">
        <v>16.04</v>
      </c>
      <c r="D12" s="84">
        <v>15.98</v>
      </c>
      <c r="E12" s="84">
        <v>15.83</v>
      </c>
      <c r="F12" s="84">
        <v>15.98</v>
      </c>
      <c r="G12" s="84">
        <f t="shared" si="0"/>
        <v>15.9575</v>
      </c>
      <c r="H12" s="84">
        <f t="shared" si="1"/>
        <v>0.20999999999999908</v>
      </c>
      <c r="I12" s="84">
        <f t="shared" si="2"/>
        <v>15.946900000000003</v>
      </c>
      <c r="J12" s="84">
        <f t="shared" si="3"/>
        <v>16.156900000000004</v>
      </c>
      <c r="K12" s="84">
        <f t="shared" si="4"/>
        <v>15.736900000000002</v>
      </c>
      <c r="L12" s="84">
        <f t="shared" si="5"/>
        <v>16.156264000000004</v>
      </c>
      <c r="M12" s="84">
        <f t="shared" si="6"/>
        <v>15.737536000000002</v>
      </c>
      <c r="N12" s="84">
        <f t="shared" si="7"/>
        <v>0.28680000000000017</v>
      </c>
      <c r="O12" s="84">
        <f t="shared" si="8"/>
        <v>0.65390400000000037</v>
      </c>
      <c r="P12" s="84">
        <f t="shared" si="9"/>
        <v>0</v>
      </c>
      <c r="R12">
        <f>VLOOKUP(R7,R23:U46,2,FALSE)</f>
        <v>0.73</v>
      </c>
      <c r="S12" s="86" t="s">
        <v>107</v>
      </c>
    </row>
    <row r="13" spans="2:19">
      <c r="B13" s="83">
        <v>10</v>
      </c>
      <c r="C13" s="84">
        <v>15.64</v>
      </c>
      <c r="D13" s="84">
        <v>15.86</v>
      </c>
      <c r="E13" s="84">
        <v>15.94</v>
      </c>
      <c r="F13" s="84">
        <v>15.89</v>
      </c>
      <c r="G13" s="84">
        <f t="shared" si="0"/>
        <v>15.8325</v>
      </c>
      <c r="H13" s="84">
        <f t="shared" si="1"/>
        <v>0.29999999999999893</v>
      </c>
      <c r="I13" s="84">
        <f t="shared" si="2"/>
        <v>15.946900000000003</v>
      </c>
      <c r="J13" s="84">
        <f t="shared" si="3"/>
        <v>16.156900000000004</v>
      </c>
      <c r="K13" s="84">
        <f t="shared" si="4"/>
        <v>15.736900000000002</v>
      </c>
      <c r="L13" s="84">
        <f t="shared" si="5"/>
        <v>16.156264000000004</v>
      </c>
      <c r="M13" s="84">
        <f t="shared" si="6"/>
        <v>15.737536000000002</v>
      </c>
      <c r="N13" s="84">
        <f t="shared" si="7"/>
        <v>0.28680000000000017</v>
      </c>
      <c r="O13" s="84">
        <f t="shared" si="8"/>
        <v>0.65390400000000037</v>
      </c>
      <c r="P13" s="84">
        <f t="shared" si="9"/>
        <v>0</v>
      </c>
      <c r="R13">
        <f>R4+R12*R5</f>
        <v>16.156264000000004</v>
      </c>
      <c r="S13" s="86" t="s">
        <v>114</v>
      </c>
    </row>
    <row r="14" spans="2:19">
      <c r="B14" s="83">
        <v>11</v>
      </c>
      <c r="C14" s="84">
        <v>16.11</v>
      </c>
      <c r="D14" s="84">
        <v>16</v>
      </c>
      <c r="E14" s="84">
        <v>16.010000000000002</v>
      </c>
      <c r="F14" s="84">
        <v>15.82</v>
      </c>
      <c r="G14" s="84">
        <f t="shared" si="0"/>
        <v>15.985000000000001</v>
      </c>
      <c r="H14" s="84">
        <f t="shared" si="1"/>
        <v>0.28999999999999915</v>
      </c>
      <c r="I14" s="84">
        <f t="shared" si="2"/>
        <v>15.946900000000003</v>
      </c>
      <c r="J14" s="84">
        <f t="shared" si="3"/>
        <v>16.156900000000004</v>
      </c>
      <c r="K14" s="84">
        <f t="shared" si="4"/>
        <v>15.736900000000002</v>
      </c>
      <c r="L14" s="84">
        <f t="shared" si="5"/>
        <v>16.156264000000004</v>
      </c>
      <c r="M14" s="84">
        <f t="shared" si="6"/>
        <v>15.737536000000002</v>
      </c>
      <c r="N14" s="84">
        <f t="shared" si="7"/>
        <v>0.28680000000000017</v>
      </c>
      <c r="O14" s="84">
        <f t="shared" si="8"/>
        <v>0.65390400000000037</v>
      </c>
      <c r="P14" s="84">
        <f t="shared" si="9"/>
        <v>0</v>
      </c>
      <c r="R14">
        <f>R4-R12*R5</f>
        <v>15.737536000000002</v>
      </c>
      <c r="S14" s="86" t="s">
        <v>115</v>
      </c>
    </row>
    <row r="15" spans="2:19">
      <c r="B15" s="83">
        <v>12</v>
      </c>
      <c r="C15" s="84">
        <v>15.72</v>
      </c>
      <c r="D15" s="84">
        <v>15.85</v>
      </c>
      <c r="E15" s="84">
        <v>16.12</v>
      </c>
      <c r="F15" s="84">
        <v>16.149999999999999</v>
      </c>
      <c r="G15" s="84">
        <f t="shared" si="0"/>
        <v>15.959999999999999</v>
      </c>
      <c r="H15" s="84">
        <f t="shared" si="1"/>
        <v>0.42999999999999794</v>
      </c>
      <c r="I15" s="84">
        <f t="shared" si="2"/>
        <v>15.946900000000003</v>
      </c>
      <c r="J15" s="84">
        <f t="shared" si="3"/>
        <v>16.156900000000004</v>
      </c>
      <c r="K15" s="84">
        <f t="shared" si="4"/>
        <v>15.736900000000002</v>
      </c>
      <c r="L15" s="84">
        <f t="shared" si="5"/>
        <v>16.156264000000004</v>
      </c>
      <c r="M15" s="84">
        <f t="shared" si="6"/>
        <v>15.737536000000002</v>
      </c>
      <c r="N15" s="84">
        <f t="shared" si="7"/>
        <v>0.28680000000000017</v>
      </c>
      <c r="O15" s="84">
        <f t="shared" si="8"/>
        <v>0.65390400000000037</v>
      </c>
      <c r="P15" s="84">
        <f t="shared" si="9"/>
        <v>0</v>
      </c>
      <c r="R15">
        <f>VLOOKUP(R7,R23:U46,4,FALSE)</f>
        <v>2.2799999999999998</v>
      </c>
      <c r="S15" s="86" t="s">
        <v>109</v>
      </c>
    </row>
    <row r="16" spans="2:19">
      <c r="B16" s="83">
        <v>13</v>
      </c>
      <c r="C16" s="84">
        <v>15.85</v>
      </c>
      <c r="D16" s="84">
        <v>15.76</v>
      </c>
      <c r="E16" s="84">
        <v>15.74</v>
      </c>
      <c r="F16" s="84">
        <v>15.98</v>
      </c>
      <c r="G16" s="84">
        <f t="shared" si="0"/>
        <v>15.8325</v>
      </c>
      <c r="H16" s="84">
        <f t="shared" si="1"/>
        <v>0.24000000000000021</v>
      </c>
      <c r="I16" s="84">
        <f t="shared" si="2"/>
        <v>15.946900000000003</v>
      </c>
      <c r="J16" s="84">
        <f t="shared" si="3"/>
        <v>16.156900000000004</v>
      </c>
      <c r="K16" s="84">
        <f t="shared" si="4"/>
        <v>15.736900000000002</v>
      </c>
      <c r="L16" s="84">
        <f t="shared" si="5"/>
        <v>16.156264000000004</v>
      </c>
      <c r="M16" s="84">
        <f t="shared" si="6"/>
        <v>15.737536000000002</v>
      </c>
      <c r="N16" s="84">
        <f t="shared" si="7"/>
        <v>0.28680000000000017</v>
      </c>
      <c r="O16" s="84">
        <f t="shared" si="8"/>
        <v>0.65390400000000037</v>
      </c>
      <c r="P16" s="84">
        <f t="shared" si="9"/>
        <v>0</v>
      </c>
      <c r="R16">
        <f>VLOOKUP(R7,R23:U46,3,FALSE)</f>
        <v>0</v>
      </c>
      <c r="S16" s="86" t="s">
        <v>108</v>
      </c>
    </row>
    <row r="17" spans="2:21">
      <c r="B17" s="83">
        <v>14</v>
      </c>
      <c r="C17" s="84">
        <v>15.73</v>
      </c>
      <c r="D17" s="84">
        <v>15.84</v>
      </c>
      <c r="E17" s="84">
        <v>15.96</v>
      </c>
      <c r="F17" s="84">
        <v>16.100000000000001</v>
      </c>
      <c r="G17" s="84">
        <f t="shared" si="0"/>
        <v>15.907500000000001</v>
      </c>
      <c r="H17" s="84">
        <f t="shared" si="1"/>
        <v>0.37000000000000099</v>
      </c>
      <c r="I17" s="84">
        <f t="shared" si="2"/>
        <v>15.946900000000003</v>
      </c>
      <c r="J17" s="84">
        <f t="shared" si="3"/>
        <v>16.156900000000004</v>
      </c>
      <c r="K17" s="84">
        <f t="shared" si="4"/>
        <v>15.736900000000002</v>
      </c>
      <c r="L17" s="84">
        <f t="shared" si="5"/>
        <v>16.156264000000004</v>
      </c>
      <c r="M17" s="84">
        <f t="shared" si="6"/>
        <v>15.737536000000002</v>
      </c>
      <c r="N17" s="84">
        <f t="shared" si="7"/>
        <v>0.28680000000000017</v>
      </c>
      <c r="O17" s="84">
        <f t="shared" si="8"/>
        <v>0.65390400000000037</v>
      </c>
      <c r="P17" s="84">
        <f t="shared" si="9"/>
        <v>0</v>
      </c>
      <c r="R17">
        <f>R15*R5</f>
        <v>0.65390400000000037</v>
      </c>
      <c r="S17" s="86" t="s">
        <v>121</v>
      </c>
    </row>
    <row r="18" spans="2:21">
      <c r="B18" s="83">
        <v>15</v>
      </c>
      <c r="C18" s="84">
        <v>16.2</v>
      </c>
      <c r="D18" s="84">
        <v>16.010000000000002</v>
      </c>
      <c r="E18" s="84">
        <v>16.100000000000001</v>
      </c>
      <c r="F18" s="84">
        <v>15.89</v>
      </c>
      <c r="G18" s="84">
        <f t="shared" si="0"/>
        <v>16.05</v>
      </c>
      <c r="H18" s="84">
        <f t="shared" si="1"/>
        <v>0.30999999999999872</v>
      </c>
      <c r="I18" s="84">
        <f t="shared" si="2"/>
        <v>15.946900000000003</v>
      </c>
      <c r="J18" s="84">
        <f t="shared" si="3"/>
        <v>16.156900000000004</v>
      </c>
      <c r="K18" s="84">
        <f t="shared" si="4"/>
        <v>15.736900000000002</v>
      </c>
      <c r="L18" s="84">
        <f t="shared" si="5"/>
        <v>16.156264000000004</v>
      </c>
      <c r="M18" s="84">
        <f t="shared" si="6"/>
        <v>15.737536000000002</v>
      </c>
      <c r="N18" s="84">
        <f t="shared" si="7"/>
        <v>0.28680000000000017</v>
      </c>
      <c r="O18" s="84">
        <f t="shared" si="8"/>
        <v>0.65390400000000037</v>
      </c>
      <c r="P18" s="84">
        <f t="shared" si="9"/>
        <v>0</v>
      </c>
      <c r="R18">
        <f>R16*R5</f>
        <v>0</v>
      </c>
      <c r="S18" s="86" t="s">
        <v>122</v>
      </c>
    </row>
    <row r="19" spans="2:21">
      <c r="B19" s="83">
        <v>16</v>
      </c>
      <c r="C19" s="84">
        <v>16.12</v>
      </c>
      <c r="D19" s="84">
        <v>16.079999999999998</v>
      </c>
      <c r="E19" s="84">
        <v>15.83</v>
      </c>
      <c r="F19" s="84">
        <v>15.94</v>
      </c>
      <c r="G19" s="84">
        <f t="shared" si="0"/>
        <v>15.9925</v>
      </c>
      <c r="H19" s="84">
        <f t="shared" si="1"/>
        <v>0.29000000000000092</v>
      </c>
      <c r="I19" s="84">
        <f t="shared" si="2"/>
        <v>15.946900000000003</v>
      </c>
      <c r="J19" s="84">
        <f t="shared" si="3"/>
        <v>16.156900000000004</v>
      </c>
      <c r="K19" s="84">
        <f t="shared" si="4"/>
        <v>15.736900000000002</v>
      </c>
      <c r="L19" s="84">
        <f t="shared" si="5"/>
        <v>16.156264000000004</v>
      </c>
      <c r="M19" s="84">
        <f t="shared" si="6"/>
        <v>15.737536000000002</v>
      </c>
      <c r="N19" s="84">
        <f t="shared" si="7"/>
        <v>0.28680000000000017</v>
      </c>
      <c r="O19" s="84">
        <f t="shared" si="8"/>
        <v>0.65390400000000037</v>
      </c>
      <c r="P19" s="84">
        <f t="shared" si="9"/>
        <v>0</v>
      </c>
    </row>
    <row r="20" spans="2:21">
      <c r="B20" s="83">
        <v>17</v>
      </c>
      <c r="C20" s="84">
        <v>16.010000000000002</v>
      </c>
      <c r="D20" s="84">
        <v>15.93</v>
      </c>
      <c r="E20" s="84">
        <v>15.81</v>
      </c>
      <c r="F20" s="84">
        <v>15.68</v>
      </c>
      <c r="G20" s="84">
        <f t="shared" si="0"/>
        <v>15.8575</v>
      </c>
      <c r="H20" s="84">
        <f t="shared" si="1"/>
        <v>0.33000000000000185</v>
      </c>
      <c r="I20" s="84">
        <f t="shared" si="2"/>
        <v>15.946900000000003</v>
      </c>
      <c r="J20" s="84">
        <f t="shared" si="3"/>
        <v>16.156900000000004</v>
      </c>
      <c r="K20" s="84">
        <f t="shared" si="4"/>
        <v>15.736900000000002</v>
      </c>
      <c r="L20" s="84">
        <f t="shared" si="5"/>
        <v>16.156264000000004</v>
      </c>
      <c r="M20" s="84">
        <f t="shared" si="6"/>
        <v>15.737536000000002</v>
      </c>
      <c r="N20" s="84">
        <f t="shared" si="7"/>
        <v>0.28680000000000017</v>
      </c>
      <c r="O20" s="84">
        <f t="shared" si="8"/>
        <v>0.65390400000000037</v>
      </c>
      <c r="P20" s="84">
        <f t="shared" si="9"/>
        <v>0</v>
      </c>
    </row>
    <row r="21" spans="2:21">
      <c r="B21" s="83">
        <v>18</v>
      </c>
      <c r="C21" s="84">
        <v>15.78</v>
      </c>
      <c r="D21" s="84">
        <v>16.04</v>
      </c>
      <c r="E21" s="84">
        <v>16.11</v>
      </c>
      <c r="F21" s="84">
        <v>16.12</v>
      </c>
      <c r="G21" s="84">
        <f t="shared" si="0"/>
        <v>16.012499999999999</v>
      </c>
      <c r="H21" s="84">
        <f t="shared" si="1"/>
        <v>0.34000000000000163</v>
      </c>
      <c r="I21" s="84">
        <f t="shared" si="2"/>
        <v>15.946900000000003</v>
      </c>
      <c r="J21" s="84">
        <f t="shared" si="3"/>
        <v>16.156900000000004</v>
      </c>
      <c r="K21" s="84">
        <f t="shared" si="4"/>
        <v>15.736900000000002</v>
      </c>
      <c r="L21" s="84">
        <f t="shared" si="5"/>
        <v>16.156264000000004</v>
      </c>
      <c r="M21" s="84">
        <f t="shared" si="6"/>
        <v>15.737536000000002</v>
      </c>
      <c r="N21" s="84">
        <f t="shared" si="7"/>
        <v>0.28680000000000017</v>
      </c>
      <c r="O21" s="84">
        <f t="shared" si="8"/>
        <v>0.65390400000000037</v>
      </c>
      <c r="P21" s="84">
        <f t="shared" si="9"/>
        <v>0</v>
      </c>
      <c r="R21" s="89"/>
      <c r="S21" s="90" t="s">
        <v>110</v>
      </c>
      <c r="T21" s="235" t="s">
        <v>111</v>
      </c>
      <c r="U21" s="235"/>
    </row>
    <row r="22" spans="2:21">
      <c r="B22" s="83">
        <v>19</v>
      </c>
      <c r="C22" s="84">
        <v>15.84</v>
      </c>
      <c r="D22" s="84">
        <v>15.92</v>
      </c>
      <c r="E22" s="84">
        <v>16.05</v>
      </c>
      <c r="F22" s="84">
        <v>16.12</v>
      </c>
      <c r="G22" s="84">
        <f t="shared" si="0"/>
        <v>15.982500000000002</v>
      </c>
      <c r="H22" s="84">
        <f t="shared" si="1"/>
        <v>0.28000000000000114</v>
      </c>
      <c r="I22" s="84">
        <f t="shared" si="2"/>
        <v>15.946900000000003</v>
      </c>
      <c r="J22" s="84">
        <f t="shared" si="3"/>
        <v>16.156900000000004</v>
      </c>
      <c r="K22" s="84">
        <f t="shared" si="4"/>
        <v>15.736900000000002</v>
      </c>
      <c r="L22" s="84">
        <f t="shared" si="5"/>
        <v>16.156264000000004</v>
      </c>
      <c r="M22" s="84">
        <f t="shared" si="6"/>
        <v>15.737536000000002</v>
      </c>
      <c r="N22" s="84">
        <f t="shared" si="7"/>
        <v>0.28680000000000017</v>
      </c>
      <c r="O22" s="84">
        <f t="shared" si="8"/>
        <v>0.65390400000000037</v>
      </c>
      <c r="P22" s="84">
        <f t="shared" si="9"/>
        <v>0</v>
      </c>
      <c r="R22" s="90" t="s">
        <v>106</v>
      </c>
      <c r="S22" s="90" t="s">
        <v>107</v>
      </c>
      <c r="T22" s="90" t="s">
        <v>108</v>
      </c>
      <c r="U22" s="90" t="s">
        <v>109</v>
      </c>
    </row>
    <row r="23" spans="2:21">
      <c r="B23" s="83">
        <v>20</v>
      </c>
      <c r="C23" s="84">
        <v>15.92</v>
      </c>
      <c r="D23" s="84">
        <v>16.09</v>
      </c>
      <c r="E23" s="84">
        <v>16.12</v>
      </c>
      <c r="F23" s="84">
        <v>15.93</v>
      </c>
      <c r="G23" s="84">
        <f t="shared" si="0"/>
        <v>16.015000000000001</v>
      </c>
      <c r="H23" s="84">
        <f t="shared" si="1"/>
        <v>0.20000000000000107</v>
      </c>
      <c r="I23" s="84">
        <f t="shared" si="2"/>
        <v>15.946900000000003</v>
      </c>
      <c r="J23" s="84">
        <f t="shared" si="3"/>
        <v>16.156900000000004</v>
      </c>
      <c r="K23" s="84">
        <f t="shared" si="4"/>
        <v>15.736900000000002</v>
      </c>
      <c r="L23" s="84">
        <f t="shared" si="5"/>
        <v>16.156264000000004</v>
      </c>
      <c r="M23" s="84">
        <f t="shared" si="6"/>
        <v>15.737536000000002</v>
      </c>
      <c r="N23" s="84">
        <f t="shared" si="7"/>
        <v>0.28680000000000017</v>
      </c>
      <c r="O23" s="84">
        <f t="shared" si="8"/>
        <v>0.65390400000000037</v>
      </c>
      <c r="P23" s="84">
        <f t="shared" si="9"/>
        <v>0</v>
      </c>
      <c r="R23" s="91">
        <v>2</v>
      </c>
      <c r="S23" s="92">
        <v>1.88</v>
      </c>
      <c r="T23" s="93">
        <v>0</v>
      </c>
      <c r="U23" s="92">
        <v>3.27</v>
      </c>
    </row>
    <row r="24" spans="2:21">
      <c r="B24" s="83">
        <v>21</v>
      </c>
      <c r="C24" s="84">
        <v>16.11</v>
      </c>
      <c r="D24" s="84">
        <v>16.02</v>
      </c>
      <c r="E24" s="84">
        <v>16</v>
      </c>
      <c r="F24" s="84">
        <v>15.88</v>
      </c>
      <c r="G24" s="84">
        <f t="shared" si="0"/>
        <v>16.002499999999998</v>
      </c>
      <c r="H24" s="84">
        <f t="shared" si="1"/>
        <v>0.22999999999999865</v>
      </c>
      <c r="I24" s="84">
        <f t="shared" si="2"/>
        <v>15.946900000000003</v>
      </c>
      <c r="J24" s="84">
        <f t="shared" si="3"/>
        <v>16.156900000000004</v>
      </c>
      <c r="K24" s="84">
        <f t="shared" si="4"/>
        <v>15.736900000000002</v>
      </c>
      <c r="L24" s="84">
        <f t="shared" si="5"/>
        <v>16.156264000000004</v>
      </c>
      <c r="M24" s="84">
        <f t="shared" si="6"/>
        <v>15.737536000000002</v>
      </c>
      <c r="N24" s="84">
        <f t="shared" si="7"/>
        <v>0.28680000000000017</v>
      </c>
      <c r="O24" s="84">
        <f t="shared" si="8"/>
        <v>0.65390400000000037</v>
      </c>
      <c r="P24" s="84">
        <f t="shared" si="9"/>
        <v>0</v>
      </c>
      <c r="R24" s="91">
        <v>3</v>
      </c>
      <c r="S24" s="92">
        <v>1.02</v>
      </c>
      <c r="T24" s="93">
        <v>0</v>
      </c>
      <c r="U24" s="92">
        <v>2.57</v>
      </c>
    </row>
    <row r="25" spans="2:21">
      <c r="B25" s="83">
        <v>22</v>
      </c>
      <c r="C25" s="84">
        <v>15.98</v>
      </c>
      <c r="D25" s="84">
        <v>15.82</v>
      </c>
      <c r="E25" s="84">
        <v>15.89</v>
      </c>
      <c r="F25" s="84">
        <v>15.89</v>
      </c>
      <c r="G25" s="84">
        <f t="shared" si="0"/>
        <v>15.895</v>
      </c>
      <c r="H25" s="84">
        <f t="shared" si="1"/>
        <v>0.16000000000000014</v>
      </c>
      <c r="I25" s="84">
        <f t="shared" si="2"/>
        <v>15.946900000000003</v>
      </c>
      <c r="J25" s="84">
        <f t="shared" si="3"/>
        <v>16.156900000000004</v>
      </c>
      <c r="K25" s="84">
        <f t="shared" si="4"/>
        <v>15.736900000000002</v>
      </c>
      <c r="L25" s="84">
        <f t="shared" si="5"/>
        <v>16.156264000000004</v>
      </c>
      <c r="M25" s="84">
        <f t="shared" si="6"/>
        <v>15.737536000000002</v>
      </c>
      <c r="N25" s="84">
        <f t="shared" si="7"/>
        <v>0.28680000000000017</v>
      </c>
      <c r="O25" s="84">
        <f t="shared" si="8"/>
        <v>0.65390400000000037</v>
      </c>
      <c r="P25" s="84">
        <f t="shared" si="9"/>
        <v>0</v>
      </c>
      <c r="R25" s="91">
        <v>4</v>
      </c>
      <c r="S25" s="92">
        <v>0.73</v>
      </c>
      <c r="T25" s="93">
        <v>0</v>
      </c>
      <c r="U25" s="92">
        <v>2.2799999999999998</v>
      </c>
    </row>
    <row r="26" spans="2:21">
      <c r="B26" s="83">
        <v>23</v>
      </c>
      <c r="C26" s="84">
        <v>16.05</v>
      </c>
      <c r="D26" s="84">
        <v>15.73</v>
      </c>
      <c r="E26" s="84">
        <v>15.73</v>
      </c>
      <c r="F26" s="84">
        <v>15.93</v>
      </c>
      <c r="G26" s="84">
        <f t="shared" si="0"/>
        <v>15.860000000000001</v>
      </c>
      <c r="H26" s="84">
        <f t="shared" si="1"/>
        <v>0.32000000000000028</v>
      </c>
      <c r="I26" s="84">
        <f t="shared" si="2"/>
        <v>15.946900000000003</v>
      </c>
      <c r="J26" s="84">
        <f t="shared" si="3"/>
        <v>16.156900000000004</v>
      </c>
      <c r="K26" s="84">
        <f t="shared" si="4"/>
        <v>15.736900000000002</v>
      </c>
      <c r="L26" s="84">
        <f t="shared" si="5"/>
        <v>16.156264000000004</v>
      </c>
      <c r="M26" s="84">
        <f t="shared" si="6"/>
        <v>15.737536000000002</v>
      </c>
      <c r="N26" s="84">
        <f t="shared" si="7"/>
        <v>0.28680000000000017</v>
      </c>
      <c r="O26" s="84">
        <f t="shared" si="8"/>
        <v>0.65390400000000037</v>
      </c>
      <c r="P26" s="84">
        <f t="shared" si="9"/>
        <v>0</v>
      </c>
      <c r="R26" s="91">
        <v>5</v>
      </c>
      <c r="S26" s="92">
        <v>0.57999999999999996</v>
      </c>
      <c r="T26" s="93">
        <v>0</v>
      </c>
      <c r="U26" s="92">
        <v>2.11</v>
      </c>
    </row>
    <row r="27" spans="2:21">
      <c r="B27" s="83">
        <v>24</v>
      </c>
      <c r="C27" s="84">
        <v>16.010000000000002</v>
      </c>
      <c r="D27" s="84">
        <v>16.010000000000002</v>
      </c>
      <c r="E27" s="84">
        <v>15.89</v>
      </c>
      <c r="F27" s="84">
        <v>15.86</v>
      </c>
      <c r="G27" s="84">
        <f t="shared" si="0"/>
        <v>15.942500000000001</v>
      </c>
      <c r="H27" s="84">
        <f t="shared" si="1"/>
        <v>0.15000000000000213</v>
      </c>
      <c r="I27" s="84">
        <f t="shared" si="2"/>
        <v>15.946900000000003</v>
      </c>
      <c r="J27" s="84">
        <f t="shared" si="3"/>
        <v>16.156900000000004</v>
      </c>
      <c r="K27" s="84">
        <f t="shared" si="4"/>
        <v>15.736900000000002</v>
      </c>
      <c r="L27" s="84">
        <f t="shared" si="5"/>
        <v>16.156264000000004</v>
      </c>
      <c r="M27" s="84">
        <f t="shared" si="6"/>
        <v>15.737536000000002</v>
      </c>
      <c r="N27" s="84">
        <f t="shared" si="7"/>
        <v>0.28680000000000017</v>
      </c>
      <c r="O27" s="84">
        <f t="shared" si="8"/>
        <v>0.65390400000000037</v>
      </c>
      <c r="P27" s="84">
        <f t="shared" si="9"/>
        <v>0</v>
      </c>
      <c r="R27" s="91">
        <v>6</v>
      </c>
      <c r="S27" s="92">
        <v>0.48</v>
      </c>
      <c r="T27" s="93">
        <v>0</v>
      </c>
      <c r="U27" s="92">
        <v>2</v>
      </c>
    </row>
    <row r="28" spans="2:21">
      <c r="B28" s="83">
        <v>25</v>
      </c>
      <c r="C28" s="84">
        <v>16.079999999999998</v>
      </c>
      <c r="D28" s="84">
        <v>15.78</v>
      </c>
      <c r="E28" s="84">
        <v>15.92</v>
      </c>
      <c r="F28" s="84">
        <v>15.98</v>
      </c>
      <c r="G28" s="84">
        <f t="shared" si="0"/>
        <v>15.940000000000001</v>
      </c>
      <c r="H28" s="84">
        <f t="shared" si="1"/>
        <v>0.29999999999999893</v>
      </c>
      <c r="I28" s="84">
        <f t="shared" si="2"/>
        <v>15.946900000000003</v>
      </c>
      <c r="J28" s="84">
        <f t="shared" si="3"/>
        <v>16.156900000000004</v>
      </c>
      <c r="K28" s="84">
        <f t="shared" si="4"/>
        <v>15.736900000000002</v>
      </c>
      <c r="L28" s="84">
        <f t="shared" si="5"/>
        <v>16.156264000000004</v>
      </c>
      <c r="M28" s="84">
        <f t="shared" si="6"/>
        <v>15.737536000000002</v>
      </c>
      <c r="N28" s="84">
        <f t="shared" si="7"/>
        <v>0.28680000000000017</v>
      </c>
      <c r="O28" s="84">
        <f t="shared" si="8"/>
        <v>0.65390400000000037</v>
      </c>
      <c r="P28" s="84">
        <f t="shared" si="9"/>
        <v>0</v>
      </c>
      <c r="R28" s="91">
        <v>7</v>
      </c>
      <c r="S28" s="92">
        <v>0.42</v>
      </c>
      <c r="T28" s="92">
        <v>0.08</v>
      </c>
      <c r="U28" s="92">
        <v>1.92</v>
      </c>
    </row>
    <row r="29" spans="2:21">
      <c r="R29" s="91">
        <v>8</v>
      </c>
      <c r="S29" s="92">
        <v>0.37</v>
      </c>
      <c r="T29" s="92">
        <v>0.14000000000000001</v>
      </c>
      <c r="U29" s="92">
        <v>1.86</v>
      </c>
    </row>
    <row r="30" spans="2:21">
      <c r="R30" s="91">
        <v>9</v>
      </c>
      <c r="S30" s="92">
        <v>0.34</v>
      </c>
      <c r="T30" s="92">
        <v>0.18</v>
      </c>
      <c r="U30" s="92">
        <v>1.82</v>
      </c>
    </row>
    <row r="31" spans="2:21">
      <c r="R31" s="91">
        <v>10</v>
      </c>
      <c r="S31" s="92">
        <v>0.31</v>
      </c>
      <c r="T31" s="92">
        <v>0.22</v>
      </c>
      <c r="U31" s="92">
        <v>1.78</v>
      </c>
    </row>
    <row r="32" spans="2:21">
      <c r="R32" s="91">
        <v>11</v>
      </c>
      <c r="S32" s="92">
        <v>0.28999999999999998</v>
      </c>
      <c r="T32" s="92">
        <v>0.26</v>
      </c>
      <c r="U32" s="92">
        <v>1.74</v>
      </c>
    </row>
    <row r="33" spans="18:21">
      <c r="R33" s="91">
        <v>12</v>
      </c>
      <c r="S33" s="92">
        <v>0.27</v>
      </c>
      <c r="T33" s="92">
        <v>0.28000000000000003</v>
      </c>
      <c r="U33" s="92">
        <v>1.72</v>
      </c>
    </row>
    <row r="34" spans="18:21">
      <c r="R34" s="91">
        <v>13</v>
      </c>
      <c r="S34" s="92">
        <v>0.25</v>
      </c>
      <c r="T34" s="92">
        <v>0.31</v>
      </c>
      <c r="U34" s="92">
        <v>1.69</v>
      </c>
    </row>
    <row r="35" spans="18:21">
      <c r="R35" s="91">
        <v>14</v>
      </c>
      <c r="S35" s="92">
        <v>0.24</v>
      </c>
      <c r="T35" s="92">
        <v>0.33</v>
      </c>
      <c r="U35" s="92">
        <v>1.67</v>
      </c>
    </row>
    <row r="36" spans="18:21">
      <c r="R36" s="91">
        <v>15</v>
      </c>
      <c r="S36" s="92">
        <v>0.22</v>
      </c>
      <c r="T36" s="92">
        <v>0.35</v>
      </c>
      <c r="U36" s="92">
        <v>1.65</v>
      </c>
    </row>
    <row r="37" spans="18:21">
      <c r="R37" s="91">
        <v>16</v>
      </c>
      <c r="S37" s="92">
        <v>0.21</v>
      </c>
      <c r="T37" s="92">
        <v>0.36</v>
      </c>
      <c r="U37" s="92">
        <v>1.64</v>
      </c>
    </row>
    <row r="38" spans="18:21">
      <c r="R38" s="91">
        <v>17</v>
      </c>
      <c r="S38" s="92">
        <v>0.2</v>
      </c>
      <c r="T38" s="92">
        <v>0.38</v>
      </c>
      <c r="U38" s="92">
        <v>1.62</v>
      </c>
    </row>
    <row r="39" spans="18:21">
      <c r="R39" s="91">
        <v>18</v>
      </c>
      <c r="S39" s="92">
        <v>0.19</v>
      </c>
      <c r="T39" s="92">
        <v>0.39</v>
      </c>
      <c r="U39" s="92">
        <v>1.61</v>
      </c>
    </row>
    <row r="40" spans="18:21">
      <c r="R40" s="91">
        <v>19</v>
      </c>
      <c r="S40" s="92">
        <v>0.19</v>
      </c>
      <c r="T40" s="92">
        <v>0.4</v>
      </c>
      <c r="U40" s="92">
        <v>1.6</v>
      </c>
    </row>
    <row r="41" spans="18:21">
      <c r="R41" s="91">
        <v>20</v>
      </c>
      <c r="S41" s="92">
        <v>0.18</v>
      </c>
      <c r="T41" s="92">
        <v>0.41</v>
      </c>
      <c r="U41" s="92">
        <v>1.59</v>
      </c>
    </row>
    <row r="42" spans="18:21">
      <c r="R42" s="91">
        <v>21</v>
      </c>
      <c r="S42" s="92">
        <v>0.17</v>
      </c>
      <c r="T42" s="92">
        <v>0.43</v>
      </c>
      <c r="U42" s="92">
        <v>1.58</v>
      </c>
    </row>
    <row r="43" spans="18:21">
      <c r="R43" s="91">
        <v>22</v>
      </c>
      <c r="S43" s="92">
        <v>0.17</v>
      </c>
      <c r="T43" s="92">
        <v>0.43</v>
      </c>
      <c r="U43" s="92">
        <v>1.57</v>
      </c>
    </row>
    <row r="44" spans="18:21">
      <c r="R44" s="91">
        <v>23</v>
      </c>
      <c r="S44" s="92">
        <v>0.16</v>
      </c>
      <c r="T44" s="92">
        <v>0.44</v>
      </c>
      <c r="U44" s="92">
        <v>1.56</v>
      </c>
    </row>
    <row r="45" spans="18:21">
      <c r="R45" s="91">
        <v>24</v>
      </c>
      <c r="S45" s="92">
        <v>0.16</v>
      </c>
      <c r="T45" s="92">
        <v>0.45</v>
      </c>
      <c r="U45" s="92">
        <v>1.55</v>
      </c>
    </row>
    <row r="46" spans="18:21">
      <c r="R46" s="91">
        <v>25</v>
      </c>
      <c r="S46" s="92">
        <v>0.15</v>
      </c>
      <c r="T46" s="92">
        <v>0.46</v>
      </c>
      <c r="U46" s="92">
        <v>1.54</v>
      </c>
    </row>
  </sheetData>
  <mergeCells count="1">
    <mergeCell ref="T21:U21"/>
  </mergeCells>
  <pageMargins left="0.7" right="0.7" top="0.75" bottom="0.75" header="0.3" footer="0.3"/>
  <pageSetup paperSize="9" orientation="portrait" horizontalDpi="300" verticalDpi="0" r:id="rId1"/>
  <ignoredErrors>
    <ignoredError sqref="G4:G28 H4:H28" formulaRange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A9459-2CFA-4B8B-888F-D3C9CD1906D8}">
  <dimension ref="B1:U47"/>
  <sheetViews>
    <sheetView zoomScale="80" zoomScaleNormal="80" workbookViewId="0">
      <selection activeCell="M14" sqref="M14"/>
    </sheetView>
  </sheetViews>
  <sheetFormatPr defaultRowHeight="14.5"/>
  <cols>
    <col min="2" max="2" width="12.90625" customWidth="1"/>
    <col min="7" max="7" width="14.1796875" bestFit="1" customWidth="1"/>
    <col min="18" max="18" width="13.54296875" customWidth="1"/>
    <col min="19" max="19" width="20.26953125" customWidth="1"/>
    <col min="20" max="20" width="11" customWidth="1"/>
  </cols>
  <sheetData>
    <row r="1" spans="2:19">
      <c r="B1" s="83">
        <v>4</v>
      </c>
      <c r="C1" s="84">
        <v>16.2</v>
      </c>
      <c r="D1" s="84">
        <v>15.85</v>
      </c>
      <c r="E1" s="84">
        <v>15.74</v>
      </c>
      <c r="F1" s="84">
        <v>15.93</v>
      </c>
      <c r="G1" s="85">
        <f>AVERAGE(C1:F1)</f>
        <v>15.93</v>
      </c>
      <c r="H1" s="85">
        <f>MAX(C1:F1)-MIN(C1:F1)</f>
        <v>0.45999999999999908</v>
      </c>
      <c r="K1" s="94">
        <v>8</v>
      </c>
      <c r="L1" s="84">
        <v>15.82</v>
      </c>
      <c r="M1" s="84">
        <v>15.94</v>
      </c>
      <c r="N1" s="84">
        <v>16.02</v>
      </c>
      <c r="O1" s="84">
        <v>15.94</v>
      </c>
      <c r="P1" s="85">
        <f>AVERAGE(L1:O1)</f>
        <v>15.93</v>
      </c>
      <c r="Q1" s="85">
        <f>MAX(L1:O1)-MIN(L1:O1)</f>
        <v>0.19999999999999929</v>
      </c>
    </row>
    <row r="2" spans="2:19">
      <c r="B2" s="83">
        <v>4</v>
      </c>
      <c r="C2" s="84">
        <v>16.7</v>
      </c>
      <c r="D2" s="84">
        <v>16.350000000000001</v>
      </c>
      <c r="E2" s="84">
        <v>16.240000000000002</v>
      </c>
      <c r="F2" s="84">
        <v>16.43</v>
      </c>
      <c r="G2" s="85">
        <f>AVERAGE(C2:F2)</f>
        <v>16.43</v>
      </c>
      <c r="H2" s="85">
        <f>MAX(C2:F2)-MIN(C2:F2)</f>
        <v>0.4599999999999973</v>
      </c>
      <c r="I2" s="95">
        <v>0.5</v>
      </c>
      <c r="K2" s="94">
        <v>8</v>
      </c>
      <c r="L2" s="84">
        <v>16.32</v>
      </c>
      <c r="M2" s="84">
        <v>15.94</v>
      </c>
      <c r="N2" s="84">
        <v>16.02</v>
      </c>
      <c r="O2" s="84">
        <v>15.44</v>
      </c>
      <c r="P2" s="85">
        <f>AVERAGE(L2:O2)</f>
        <v>15.93</v>
      </c>
      <c r="Q2" s="85">
        <f>MAX(L2:O2)-MIN(L2:O2)</f>
        <v>0.88000000000000078</v>
      </c>
    </row>
    <row r="4" spans="2:19">
      <c r="B4" s="82" t="s">
        <v>95</v>
      </c>
      <c r="C4" s="82" t="s">
        <v>91</v>
      </c>
      <c r="D4" s="82" t="s">
        <v>92</v>
      </c>
      <c r="E4" s="82" t="s">
        <v>93</v>
      </c>
      <c r="F4" s="82" t="s">
        <v>94</v>
      </c>
      <c r="G4" s="82" t="s">
        <v>96</v>
      </c>
      <c r="H4" s="82" t="s">
        <v>97</v>
      </c>
      <c r="I4" s="82" t="s">
        <v>105</v>
      </c>
      <c r="J4" s="82" t="s">
        <v>116</v>
      </c>
      <c r="K4" s="82" t="s">
        <v>117</v>
      </c>
      <c r="L4" s="82" t="s">
        <v>118</v>
      </c>
      <c r="M4" s="82" t="s">
        <v>119</v>
      </c>
      <c r="N4" s="82" t="s">
        <v>125</v>
      </c>
      <c r="O4" s="82" t="s">
        <v>123</v>
      </c>
      <c r="P4" s="82" t="s">
        <v>124</v>
      </c>
      <c r="R4" s="88">
        <v>0.14000000000000001</v>
      </c>
      <c r="S4" s="86" t="s">
        <v>103</v>
      </c>
    </row>
    <row r="5" spans="2:19">
      <c r="B5" s="83">
        <v>1</v>
      </c>
      <c r="C5" s="84">
        <v>15.85</v>
      </c>
      <c r="D5" s="84">
        <v>16.02</v>
      </c>
      <c r="E5" s="84">
        <v>15.83</v>
      </c>
      <c r="F5" s="84">
        <v>15.93</v>
      </c>
      <c r="G5" s="84">
        <f>AVERAGE(C5:F5)</f>
        <v>15.907499999999999</v>
      </c>
      <c r="H5" s="84">
        <f>MAX(C5:F5)-MIN(C5:F5)</f>
        <v>0.1899999999999995</v>
      </c>
      <c r="I5" s="84">
        <f>$R$5</f>
        <v>15.966900000000003</v>
      </c>
      <c r="J5" s="84">
        <f>$R$11</f>
        <v>16.176900000000003</v>
      </c>
      <c r="K5" s="84">
        <f>$R$12</f>
        <v>15.756900000000002</v>
      </c>
      <c r="L5" s="84">
        <f>$R$14</f>
        <v>16.196120000000004</v>
      </c>
      <c r="M5" s="84">
        <f>$R$15</f>
        <v>15.737680000000003</v>
      </c>
      <c r="N5" s="84">
        <f>$R$6</f>
        <v>0.31400000000000011</v>
      </c>
      <c r="O5" s="84">
        <f>$R$18</f>
        <v>0.71592000000000022</v>
      </c>
      <c r="P5" s="84">
        <f>$R$19</f>
        <v>0</v>
      </c>
      <c r="R5" s="85">
        <f>AVERAGE(G5:G29)</f>
        <v>15.966900000000003</v>
      </c>
      <c r="S5" s="87" t="s">
        <v>99</v>
      </c>
    </row>
    <row r="6" spans="2:19">
      <c r="B6" s="83">
        <v>2</v>
      </c>
      <c r="C6" s="84">
        <v>16.12</v>
      </c>
      <c r="D6" s="84">
        <v>16</v>
      </c>
      <c r="E6" s="84">
        <v>15.85</v>
      </c>
      <c r="F6" s="84">
        <v>16.010000000000002</v>
      </c>
      <c r="G6" s="84">
        <f t="shared" ref="G6:G29" si="0">AVERAGE(C6:F6)</f>
        <v>15.995000000000001</v>
      </c>
      <c r="H6" s="84">
        <f t="shared" ref="H6:H29" si="1">MAX(C6:F6)-MIN(C6:F6)</f>
        <v>0.27000000000000135</v>
      </c>
      <c r="I6" s="84">
        <f t="shared" ref="I6:I29" si="2">$R$5</f>
        <v>15.966900000000003</v>
      </c>
      <c r="J6" s="84">
        <f t="shared" ref="J6:J29" si="3">$R$11</f>
        <v>16.176900000000003</v>
      </c>
      <c r="K6" s="84">
        <f t="shared" ref="K6:K29" si="4">$R$12</f>
        <v>15.756900000000002</v>
      </c>
      <c r="L6" s="84">
        <f t="shared" ref="L6:L29" si="5">$R$14</f>
        <v>16.196120000000004</v>
      </c>
      <c r="M6" s="84">
        <f t="shared" ref="M6:M29" si="6">$R$15</f>
        <v>15.737680000000003</v>
      </c>
      <c r="N6" s="84">
        <f t="shared" ref="N6:N29" si="7">$R$6</f>
        <v>0.31400000000000011</v>
      </c>
      <c r="O6" s="84">
        <f t="shared" ref="O6:O29" si="8">$R$18</f>
        <v>0.71592000000000022</v>
      </c>
      <c r="P6" s="84">
        <f t="shared" ref="P6:P29" si="9">$R$19</f>
        <v>0</v>
      </c>
      <c r="R6" s="85">
        <f>AVERAGE(H5:H29)</f>
        <v>0.31400000000000011</v>
      </c>
      <c r="S6" s="86" t="s">
        <v>98</v>
      </c>
    </row>
    <row r="7" spans="2:19">
      <c r="B7" s="83">
        <v>3</v>
      </c>
      <c r="C7" s="84">
        <v>16</v>
      </c>
      <c r="D7" s="84">
        <v>15.91</v>
      </c>
      <c r="E7" s="84">
        <v>15.94</v>
      </c>
      <c r="F7" s="84">
        <v>15.83</v>
      </c>
      <c r="G7" s="84">
        <f t="shared" si="0"/>
        <v>15.92</v>
      </c>
      <c r="H7" s="84">
        <f t="shared" si="1"/>
        <v>0.16999999999999993</v>
      </c>
      <c r="I7" s="84">
        <f t="shared" si="2"/>
        <v>15.966900000000003</v>
      </c>
      <c r="J7" s="84">
        <f t="shared" si="3"/>
        <v>16.176900000000003</v>
      </c>
      <c r="K7" s="84">
        <f t="shared" si="4"/>
        <v>15.756900000000002</v>
      </c>
      <c r="L7" s="84">
        <f t="shared" si="5"/>
        <v>16.196120000000004</v>
      </c>
      <c r="M7" s="84">
        <f t="shared" si="6"/>
        <v>15.737680000000003</v>
      </c>
      <c r="N7" s="84">
        <f t="shared" si="7"/>
        <v>0.31400000000000011</v>
      </c>
      <c r="O7" s="84">
        <f t="shared" si="8"/>
        <v>0.71592000000000022</v>
      </c>
      <c r="P7" s="84">
        <f t="shared" si="9"/>
        <v>0</v>
      </c>
      <c r="R7" s="88">
        <v>3</v>
      </c>
      <c r="S7" s="86" t="s">
        <v>100</v>
      </c>
    </row>
    <row r="8" spans="2:19">
      <c r="B8" s="94">
        <v>4</v>
      </c>
      <c r="C8" s="84">
        <v>16.7</v>
      </c>
      <c r="D8" s="84">
        <v>16.350000000000001</v>
      </c>
      <c r="E8" s="84">
        <v>16.240000000000002</v>
      </c>
      <c r="F8" s="84">
        <v>16.43</v>
      </c>
      <c r="G8" s="84">
        <f t="shared" si="0"/>
        <v>16.43</v>
      </c>
      <c r="H8" s="84">
        <f t="shared" si="1"/>
        <v>0.4599999999999973</v>
      </c>
      <c r="I8" s="84">
        <f t="shared" si="2"/>
        <v>15.966900000000003</v>
      </c>
      <c r="J8" s="84">
        <f t="shared" si="3"/>
        <v>16.176900000000003</v>
      </c>
      <c r="K8" s="84">
        <f t="shared" si="4"/>
        <v>15.756900000000002</v>
      </c>
      <c r="L8" s="84">
        <f t="shared" si="5"/>
        <v>16.196120000000004</v>
      </c>
      <c r="M8" s="84">
        <f t="shared" si="6"/>
        <v>15.737680000000003</v>
      </c>
      <c r="N8" s="84">
        <f t="shared" si="7"/>
        <v>0.31400000000000011</v>
      </c>
      <c r="O8" s="84">
        <f t="shared" si="8"/>
        <v>0.71592000000000022</v>
      </c>
      <c r="P8" s="84">
        <f t="shared" si="9"/>
        <v>0</v>
      </c>
      <c r="R8">
        <f>COUNTA(C4:F4)</f>
        <v>4</v>
      </c>
      <c r="S8" s="86" t="s">
        <v>102</v>
      </c>
    </row>
    <row r="9" spans="2:19">
      <c r="B9" s="83">
        <v>5</v>
      </c>
      <c r="C9" s="84">
        <v>15.74</v>
      </c>
      <c r="D9" s="84">
        <v>15.86</v>
      </c>
      <c r="E9" s="84">
        <v>16.21</v>
      </c>
      <c r="F9" s="84">
        <v>16.100000000000001</v>
      </c>
      <c r="G9" s="84">
        <f t="shared" si="0"/>
        <v>15.977500000000001</v>
      </c>
      <c r="H9" s="84">
        <f t="shared" si="1"/>
        <v>0.47000000000000064</v>
      </c>
      <c r="I9" s="84">
        <f t="shared" si="2"/>
        <v>15.966900000000003</v>
      </c>
      <c r="J9" s="84">
        <f t="shared" si="3"/>
        <v>16.176900000000003</v>
      </c>
      <c r="K9" s="84">
        <f t="shared" si="4"/>
        <v>15.756900000000002</v>
      </c>
      <c r="L9" s="84">
        <f t="shared" si="5"/>
        <v>16.196120000000004</v>
      </c>
      <c r="M9" s="84">
        <f t="shared" si="6"/>
        <v>15.737680000000003</v>
      </c>
      <c r="N9" s="84">
        <f t="shared" si="7"/>
        <v>0.31400000000000011</v>
      </c>
      <c r="O9" s="84">
        <f t="shared" si="8"/>
        <v>0.71592000000000022</v>
      </c>
      <c r="P9" s="84">
        <f t="shared" si="9"/>
        <v>0</v>
      </c>
      <c r="R9">
        <f>COUNT(B5:B29)</f>
        <v>25</v>
      </c>
      <c r="S9" s="86" t="s">
        <v>104</v>
      </c>
    </row>
    <row r="10" spans="2:19">
      <c r="B10" s="83">
        <v>6</v>
      </c>
      <c r="C10" s="84">
        <v>15.94</v>
      </c>
      <c r="D10" s="84">
        <v>16.010000000000002</v>
      </c>
      <c r="E10" s="84">
        <v>16.14</v>
      </c>
      <c r="F10" s="84">
        <v>16.03</v>
      </c>
      <c r="G10" s="84">
        <f t="shared" si="0"/>
        <v>16.03</v>
      </c>
      <c r="H10" s="84">
        <f t="shared" si="1"/>
        <v>0.20000000000000107</v>
      </c>
      <c r="I10" s="84">
        <f t="shared" si="2"/>
        <v>15.966900000000003</v>
      </c>
      <c r="J10" s="84">
        <f t="shared" si="3"/>
        <v>16.176900000000003</v>
      </c>
      <c r="K10" s="84">
        <f t="shared" si="4"/>
        <v>15.756900000000002</v>
      </c>
      <c r="L10" s="84">
        <f t="shared" si="5"/>
        <v>16.196120000000004</v>
      </c>
      <c r="M10" s="84">
        <f t="shared" si="6"/>
        <v>15.737680000000003</v>
      </c>
      <c r="N10" s="84">
        <f t="shared" si="7"/>
        <v>0.31400000000000011</v>
      </c>
      <c r="O10" s="84">
        <f t="shared" si="8"/>
        <v>0.71592000000000022</v>
      </c>
      <c r="P10" s="84">
        <f t="shared" si="9"/>
        <v>0</v>
      </c>
      <c r="R10">
        <f>R4/SQRT(R8)</f>
        <v>7.0000000000000007E-2</v>
      </c>
      <c r="S10" s="86" t="s">
        <v>101</v>
      </c>
    </row>
    <row r="11" spans="2:19">
      <c r="B11" s="83">
        <v>7</v>
      </c>
      <c r="C11" s="84">
        <v>15.75</v>
      </c>
      <c r="D11" s="84">
        <v>16.21</v>
      </c>
      <c r="E11" s="84">
        <v>16.010000000000002</v>
      </c>
      <c r="F11" s="84">
        <v>15.86</v>
      </c>
      <c r="G11" s="84">
        <f t="shared" si="0"/>
        <v>15.9575</v>
      </c>
      <c r="H11" s="84">
        <f t="shared" si="1"/>
        <v>0.46000000000000085</v>
      </c>
      <c r="I11" s="84">
        <f t="shared" si="2"/>
        <v>15.966900000000003</v>
      </c>
      <c r="J11" s="84">
        <f t="shared" si="3"/>
        <v>16.176900000000003</v>
      </c>
      <c r="K11" s="84">
        <f t="shared" si="4"/>
        <v>15.756900000000002</v>
      </c>
      <c r="L11" s="84">
        <f t="shared" si="5"/>
        <v>16.196120000000004</v>
      </c>
      <c r="M11" s="84">
        <f t="shared" si="6"/>
        <v>15.737680000000003</v>
      </c>
      <c r="N11" s="84">
        <f t="shared" si="7"/>
        <v>0.31400000000000011</v>
      </c>
      <c r="O11" s="84">
        <f t="shared" si="8"/>
        <v>0.71592000000000022</v>
      </c>
      <c r="P11" s="84">
        <f t="shared" si="9"/>
        <v>0</v>
      </c>
      <c r="R11">
        <f>R5+R7*R10</f>
        <v>16.176900000000003</v>
      </c>
      <c r="S11" s="86" t="s">
        <v>112</v>
      </c>
    </row>
    <row r="12" spans="2:19">
      <c r="B12" s="94">
        <v>8</v>
      </c>
      <c r="C12" s="84">
        <v>16.32</v>
      </c>
      <c r="D12" s="84">
        <v>15.94</v>
      </c>
      <c r="E12" s="84">
        <v>16.02</v>
      </c>
      <c r="F12" s="84">
        <v>15.44</v>
      </c>
      <c r="G12" s="84">
        <f t="shared" si="0"/>
        <v>15.93</v>
      </c>
      <c r="H12" s="84">
        <f t="shared" si="1"/>
        <v>0.88000000000000078</v>
      </c>
      <c r="I12" s="84">
        <f t="shared" si="2"/>
        <v>15.966900000000003</v>
      </c>
      <c r="J12" s="84">
        <f t="shared" si="3"/>
        <v>16.176900000000003</v>
      </c>
      <c r="K12" s="84">
        <f t="shared" si="4"/>
        <v>15.756900000000002</v>
      </c>
      <c r="L12" s="84">
        <f t="shared" si="5"/>
        <v>16.196120000000004</v>
      </c>
      <c r="M12" s="84">
        <f t="shared" si="6"/>
        <v>15.737680000000003</v>
      </c>
      <c r="N12" s="84">
        <f t="shared" si="7"/>
        <v>0.31400000000000011</v>
      </c>
      <c r="O12" s="84">
        <f t="shared" si="8"/>
        <v>0.71592000000000022</v>
      </c>
      <c r="P12" s="84">
        <f t="shared" si="9"/>
        <v>0</v>
      </c>
      <c r="R12">
        <f>R5-R7*R10</f>
        <v>15.756900000000002</v>
      </c>
      <c r="S12" s="86" t="s">
        <v>113</v>
      </c>
    </row>
    <row r="13" spans="2:19">
      <c r="B13" s="83">
        <v>9</v>
      </c>
      <c r="C13" s="84">
        <v>16.04</v>
      </c>
      <c r="D13" s="84">
        <v>15.98</v>
      </c>
      <c r="E13" s="84">
        <v>15.83</v>
      </c>
      <c r="F13" s="84">
        <v>15.98</v>
      </c>
      <c r="G13" s="84">
        <f t="shared" si="0"/>
        <v>15.9575</v>
      </c>
      <c r="H13" s="84">
        <f t="shared" si="1"/>
        <v>0.20999999999999908</v>
      </c>
      <c r="I13" s="84">
        <f t="shared" si="2"/>
        <v>15.966900000000003</v>
      </c>
      <c r="J13" s="84">
        <f t="shared" si="3"/>
        <v>16.176900000000003</v>
      </c>
      <c r="K13" s="84">
        <f t="shared" si="4"/>
        <v>15.756900000000002</v>
      </c>
      <c r="L13" s="84">
        <f t="shared" si="5"/>
        <v>16.196120000000004</v>
      </c>
      <c r="M13" s="84">
        <f t="shared" si="6"/>
        <v>15.737680000000003</v>
      </c>
      <c r="N13" s="84">
        <f t="shared" si="7"/>
        <v>0.31400000000000011</v>
      </c>
      <c r="O13" s="84">
        <f t="shared" si="8"/>
        <v>0.71592000000000022</v>
      </c>
      <c r="P13" s="84">
        <f t="shared" si="9"/>
        <v>0</v>
      </c>
      <c r="R13">
        <f>VLOOKUP(R8,R24:U47,2,FALSE)</f>
        <v>0.73</v>
      </c>
      <c r="S13" s="86" t="s">
        <v>107</v>
      </c>
    </row>
    <row r="14" spans="2:19">
      <c r="B14" s="83">
        <v>10</v>
      </c>
      <c r="C14" s="84">
        <v>15.64</v>
      </c>
      <c r="D14" s="84">
        <v>15.86</v>
      </c>
      <c r="E14" s="84">
        <v>15.94</v>
      </c>
      <c r="F14" s="84">
        <v>15.89</v>
      </c>
      <c r="G14" s="84">
        <f t="shared" si="0"/>
        <v>15.8325</v>
      </c>
      <c r="H14" s="84">
        <f t="shared" si="1"/>
        <v>0.29999999999999893</v>
      </c>
      <c r="I14" s="84">
        <f t="shared" si="2"/>
        <v>15.966900000000003</v>
      </c>
      <c r="J14" s="84">
        <f t="shared" si="3"/>
        <v>16.176900000000003</v>
      </c>
      <c r="K14" s="84">
        <f t="shared" si="4"/>
        <v>15.756900000000002</v>
      </c>
      <c r="L14" s="84">
        <f t="shared" si="5"/>
        <v>16.196120000000004</v>
      </c>
      <c r="M14" s="84">
        <f t="shared" si="6"/>
        <v>15.737680000000003</v>
      </c>
      <c r="N14" s="84">
        <f t="shared" si="7"/>
        <v>0.31400000000000011</v>
      </c>
      <c r="O14" s="84">
        <f t="shared" si="8"/>
        <v>0.71592000000000022</v>
      </c>
      <c r="P14" s="84">
        <f t="shared" si="9"/>
        <v>0</v>
      </c>
      <c r="R14">
        <f>R5+R13*R6</f>
        <v>16.196120000000004</v>
      </c>
      <c r="S14" s="86" t="s">
        <v>114</v>
      </c>
    </row>
    <row r="15" spans="2:19">
      <c r="B15" s="83">
        <v>11</v>
      </c>
      <c r="C15" s="84">
        <v>16.11</v>
      </c>
      <c r="D15" s="84">
        <v>16</v>
      </c>
      <c r="E15" s="84">
        <v>16.010000000000002</v>
      </c>
      <c r="F15" s="84">
        <v>15.82</v>
      </c>
      <c r="G15" s="84">
        <f t="shared" si="0"/>
        <v>15.985000000000001</v>
      </c>
      <c r="H15" s="84">
        <f t="shared" si="1"/>
        <v>0.28999999999999915</v>
      </c>
      <c r="I15" s="84">
        <f t="shared" si="2"/>
        <v>15.966900000000003</v>
      </c>
      <c r="J15" s="84">
        <f t="shared" si="3"/>
        <v>16.176900000000003</v>
      </c>
      <c r="K15" s="84">
        <f t="shared" si="4"/>
        <v>15.756900000000002</v>
      </c>
      <c r="L15" s="84">
        <f t="shared" si="5"/>
        <v>16.196120000000004</v>
      </c>
      <c r="M15" s="84">
        <f t="shared" si="6"/>
        <v>15.737680000000003</v>
      </c>
      <c r="N15" s="84">
        <f t="shared" si="7"/>
        <v>0.31400000000000011</v>
      </c>
      <c r="O15" s="84">
        <f t="shared" si="8"/>
        <v>0.71592000000000022</v>
      </c>
      <c r="P15" s="84">
        <f t="shared" si="9"/>
        <v>0</v>
      </c>
      <c r="R15">
        <f>R5-R13*R6</f>
        <v>15.737680000000003</v>
      </c>
      <c r="S15" s="86" t="s">
        <v>115</v>
      </c>
    </row>
    <row r="16" spans="2:19">
      <c r="B16" s="83">
        <v>12</v>
      </c>
      <c r="C16" s="84">
        <v>15.72</v>
      </c>
      <c r="D16" s="84">
        <v>15.85</v>
      </c>
      <c r="E16" s="84">
        <v>16.12</v>
      </c>
      <c r="F16" s="84">
        <v>16.149999999999999</v>
      </c>
      <c r="G16" s="84">
        <f t="shared" si="0"/>
        <v>15.959999999999999</v>
      </c>
      <c r="H16" s="84">
        <f t="shared" si="1"/>
        <v>0.42999999999999794</v>
      </c>
      <c r="I16" s="84">
        <f t="shared" si="2"/>
        <v>15.966900000000003</v>
      </c>
      <c r="J16" s="84">
        <f t="shared" si="3"/>
        <v>16.176900000000003</v>
      </c>
      <c r="K16" s="84">
        <f t="shared" si="4"/>
        <v>15.756900000000002</v>
      </c>
      <c r="L16" s="84">
        <f t="shared" si="5"/>
        <v>16.196120000000004</v>
      </c>
      <c r="M16" s="84">
        <f t="shared" si="6"/>
        <v>15.737680000000003</v>
      </c>
      <c r="N16" s="84">
        <f t="shared" si="7"/>
        <v>0.31400000000000011</v>
      </c>
      <c r="O16" s="84">
        <f t="shared" si="8"/>
        <v>0.71592000000000022</v>
      </c>
      <c r="P16" s="84">
        <f t="shared" si="9"/>
        <v>0</v>
      </c>
      <c r="R16">
        <f>VLOOKUP(R8,R24:U47,4,FALSE)</f>
        <v>2.2799999999999998</v>
      </c>
      <c r="S16" s="86" t="s">
        <v>109</v>
      </c>
    </row>
    <row r="17" spans="2:21">
      <c r="B17" s="83">
        <v>13</v>
      </c>
      <c r="C17" s="84">
        <v>15.85</v>
      </c>
      <c r="D17" s="84">
        <v>15.76</v>
      </c>
      <c r="E17" s="84">
        <v>15.74</v>
      </c>
      <c r="F17" s="84">
        <v>15.98</v>
      </c>
      <c r="G17" s="84">
        <f t="shared" si="0"/>
        <v>15.8325</v>
      </c>
      <c r="H17" s="84">
        <f t="shared" si="1"/>
        <v>0.24000000000000021</v>
      </c>
      <c r="I17" s="84">
        <f t="shared" si="2"/>
        <v>15.966900000000003</v>
      </c>
      <c r="J17" s="84">
        <f t="shared" si="3"/>
        <v>16.176900000000003</v>
      </c>
      <c r="K17" s="84">
        <f t="shared" si="4"/>
        <v>15.756900000000002</v>
      </c>
      <c r="L17" s="84">
        <f t="shared" si="5"/>
        <v>16.196120000000004</v>
      </c>
      <c r="M17" s="84">
        <f t="shared" si="6"/>
        <v>15.737680000000003</v>
      </c>
      <c r="N17" s="84">
        <f t="shared" si="7"/>
        <v>0.31400000000000011</v>
      </c>
      <c r="O17" s="84">
        <f t="shared" si="8"/>
        <v>0.71592000000000022</v>
      </c>
      <c r="P17" s="84">
        <f t="shared" si="9"/>
        <v>0</v>
      </c>
      <c r="R17">
        <f>VLOOKUP(R8,R24:U47,3,FALSE)</f>
        <v>0</v>
      </c>
      <c r="S17" s="86" t="s">
        <v>108</v>
      </c>
    </row>
    <row r="18" spans="2:21">
      <c r="B18" s="83">
        <v>14</v>
      </c>
      <c r="C18" s="84">
        <v>15.73</v>
      </c>
      <c r="D18" s="84">
        <v>15.84</v>
      </c>
      <c r="E18" s="84">
        <v>15.96</v>
      </c>
      <c r="F18" s="84">
        <v>16.100000000000001</v>
      </c>
      <c r="G18" s="84">
        <f t="shared" si="0"/>
        <v>15.907500000000001</v>
      </c>
      <c r="H18" s="84">
        <f t="shared" si="1"/>
        <v>0.37000000000000099</v>
      </c>
      <c r="I18" s="84">
        <f t="shared" si="2"/>
        <v>15.966900000000003</v>
      </c>
      <c r="J18" s="84">
        <f t="shared" si="3"/>
        <v>16.176900000000003</v>
      </c>
      <c r="K18" s="84">
        <f t="shared" si="4"/>
        <v>15.756900000000002</v>
      </c>
      <c r="L18" s="84">
        <f t="shared" si="5"/>
        <v>16.196120000000004</v>
      </c>
      <c r="M18" s="84">
        <f t="shared" si="6"/>
        <v>15.737680000000003</v>
      </c>
      <c r="N18" s="84">
        <f t="shared" si="7"/>
        <v>0.31400000000000011</v>
      </c>
      <c r="O18" s="84">
        <f t="shared" si="8"/>
        <v>0.71592000000000022</v>
      </c>
      <c r="P18" s="84">
        <f t="shared" si="9"/>
        <v>0</v>
      </c>
      <c r="R18">
        <f>R16*R6</f>
        <v>0.71592000000000022</v>
      </c>
      <c r="S18" s="86" t="s">
        <v>121</v>
      </c>
    </row>
    <row r="19" spans="2:21">
      <c r="B19" s="83">
        <v>15</v>
      </c>
      <c r="C19" s="84">
        <v>16.2</v>
      </c>
      <c r="D19" s="84">
        <v>16.010000000000002</v>
      </c>
      <c r="E19" s="84">
        <v>16.100000000000001</v>
      </c>
      <c r="F19" s="84">
        <v>15.89</v>
      </c>
      <c r="G19" s="84">
        <f t="shared" si="0"/>
        <v>16.05</v>
      </c>
      <c r="H19" s="84">
        <f t="shared" si="1"/>
        <v>0.30999999999999872</v>
      </c>
      <c r="I19" s="84">
        <f t="shared" si="2"/>
        <v>15.966900000000003</v>
      </c>
      <c r="J19" s="84">
        <f t="shared" si="3"/>
        <v>16.176900000000003</v>
      </c>
      <c r="K19" s="84">
        <f t="shared" si="4"/>
        <v>15.756900000000002</v>
      </c>
      <c r="L19" s="84">
        <f t="shared" si="5"/>
        <v>16.196120000000004</v>
      </c>
      <c r="M19" s="84">
        <f t="shared" si="6"/>
        <v>15.737680000000003</v>
      </c>
      <c r="N19" s="84">
        <f t="shared" si="7"/>
        <v>0.31400000000000011</v>
      </c>
      <c r="O19" s="84">
        <f t="shared" si="8"/>
        <v>0.71592000000000022</v>
      </c>
      <c r="P19" s="84">
        <f t="shared" si="9"/>
        <v>0</v>
      </c>
      <c r="R19">
        <f>R17*R6</f>
        <v>0</v>
      </c>
      <c r="S19" s="86" t="s">
        <v>122</v>
      </c>
    </row>
    <row r="20" spans="2:21">
      <c r="B20" s="83">
        <v>16</v>
      </c>
      <c r="C20" s="84">
        <v>16.12</v>
      </c>
      <c r="D20" s="84">
        <v>16.079999999999998</v>
      </c>
      <c r="E20" s="84">
        <v>15.83</v>
      </c>
      <c r="F20" s="84">
        <v>15.94</v>
      </c>
      <c r="G20" s="84">
        <f t="shared" si="0"/>
        <v>15.9925</v>
      </c>
      <c r="H20" s="84">
        <f t="shared" si="1"/>
        <v>0.29000000000000092</v>
      </c>
      <c r="I20" s="84">
        <f t="shared" si="2"/>
        <v>15.966900000000003</v>
      </c>
      <c r="J20" s="84">
        <f t="shared" si="3"/>
        <v>16.176900000000003</v>
      </c>
      <c r="K20" s="84">
        <f t="shared" si="4"/>
        <v>15.756900000000002</v>
      </c>
      <c r="L20" s="84">
        <f t="shared" si="5"/>
        <v>16.196120000000004</v>
      </c>
      <c r="M20" s="84">
        <f t="shared" si="6"/>
        <v>15.737680000000003</v>
      </c>
      <c r="N20" s="84">
        <f t="shared" si="7"/>
        <v>0.31400000000000011</v>
      </c>
      <c r="O20" s="84">
        <f t="shared" si="8"/>
        <v>0.71592000000000022</v>
      </c>
      <c r="P20" s="84">
        <f t="shared" si="9"/>
        <v>0</v>
      </c>
    </row>
    <row r="21" spans="2:21">
      <c r="B21" s="83">
        <v>17</v>
      </c>
      <c r="C21" s="84">
        <v>16.010000000000002</v>
      </c>
      <c r="D21" s="84">
        <v>15.93</v>
      </c>
      <c r="E21" s="84">
        <v>15.81</v>
      </c>
      <c r="F21" s="84">
        <v>15.68</v>
      </c>
      <c r="G21" s="84">
        <f t="shared" si="0"/>
        <v>15.8575</v>
      </c>
      <c r="H21" s="84">
        <f t="shared" si="1"/>
        <v>0.33000000000000185</v>
      </c>
      <c r="I21" s="84">
        <f t="shared" si="2"/>
        <v>15.966900000000003</v>
      </c>
      <c r="J21" s="84">
        <f t="shared" si="3"/>
        <v>16.176900000000003</v>
      </c>
      <c r="K21" s="84">
        <f t="shared" si="4"/>
        <v>15.756900000000002</v>
      </c>
      <c r="L21" s="84">
        <f t="shared" si="5"/>
        <v>16.196120000000004</v>
      </c>
      <c r="M21" s="84">
        <f t="shared" si="6"/>
        <v>15.737680000000003</v>
      </c>
      <c r="N21" s="84">
        <f t="shared" si="7"/>
        <v>0.31400000000000011</v>
      </c>
      <c r="O21" s="84">
        <f t="shared" si="8"/>
        <v>0.71592000000000022</v>
      </c>
      <c r="P21" s="84">
        <f t="shared" si="9"/>
        <v>0</v>
      </c>
    </row>
    <row r="22" spans="2:21">
      <c r="B22" s="83">
        <v>18</v>
      </c>
      <c r="C22" s="84">
        <v>15.78</v>
      </c>
      <c r="D22" s="84">
        <v>16.04</v>
      </c>
      <c r="E22" s="84">
        <v>16.11</v>
      </c>
      <c r="F22" s="84">
        <v>16.12</v>
      </c>
      <c r="G22" s="84">
        <f t="shared" si="0"/>
        <v>16.012499999999999</v>
      </c>
      <c r="H22" s="84">
        <f t="shared" si="1"/>
        <v>0.34000000000000163</v>
      </c>
      <c r="I22" s="84">
        <f t="shared" si="2"/>
        <v>15.966900000000003</v>
      </c>
      <c r="J22" s="84">
        <f t="shared" si="3"/>
        <v>16.176900000000003</v>
      </c>
      <c r="K22" s="84">
        <f t="shared" si="4"/>
        <v>15.756900000000002</v>
      </c>
      <c r="L22" s="84">
        <f t="shared" si="5"/>
        <v>16.196120000000004</v>
      </c>
      <c r="M22" s="84">
        <f t="shared" si="6"/>
        <v>15.737680000000003</v>
      </c>
      <c r="N22" s="84">
        <f t="shared" si="7"/>
        <v>0.31400000000000011</v>
      </c>
      <c r="O22" s="84">
        <f t="shared" si="8"/>
        <v>0.71592000000000022</v>
      </c>
      <c r="P22" s="84">
        <f t="shared" si="9"/>
        <v>0</v>
      </c>
      <c r="R22" s="89"/>
      <c r="S22" s="90" t="s">
        <v>110</v>
      </c>
      <c r="T22" s="235" t="s">
        <v>111</v>
      </c>
      <c r="U22" s="235"/>
    </row>
    <row r="23" spans="2:21">
      <c r="B23" s="83">
        <v>19</v>
      </c>
      <c r="C23" s="84">
        <v>15.84</v>
      </c>
      <c r="D23" s="84">
        <v>15.92</v>
      </c>
      <c r="E23" s="84">
        <v>16.05</v>
      </c>
      <c r="F23" s="84">
        <v>16.12</v>
      </c>
      <c r="G23" s="84">
        <f t="shared" si="0"/>
        <v>15.982500000000002</v>
      </c>
      <c r="H23" s="84">
        <f t="shared" si="1"/>
        <v>0.28000000000000114</v>
      </c>
      <c r="I23" s="84">
        <f t="shared" si="2"/>
        <v>15.966900000000003</v>
      </c>
      <c r="J23" s="84">
        <f t="shared" si="3"/>
        <v>16.176900000000003</v>
      </c>
      <c r="K23" s="84">
        <f t="shared" si="4"/>
        <v>15.756900000000002</v>
      </c>
      <c r="L23" s="84">
        <f t="shared" si="5"/>
        <v>16.196120000000004</v>
      </c>
      <c r="M23" s="84">
        <f t="shared" si="6"/>
        <v>15.737680000000003</v>
      </c>
      <c r="N23" s="84">
        <f t="shared" si="7"/>
        <v>0.31400000000000011</v>
      </c>
      <c r="O23" s="84">
        <f t="shared" si="8"/>
        <v>0.71592000000000022</v>
      </c>
      <c r="P23" s="84">
        <f t="shared" si="9"/>
        <v>0</v>
      </c>
      <c r="R23" s="90" t="s">
        <v>106</v>
      </c>
      <c r="S23" s="90" t="s">
        <v>107</v>
      </c>
      <c r="T23" s="90" t="s">
        <v>108</v>
      </c>
      <c r="U23" s="90" t="s">
        <v>109</v>
      </c>
    </row>
    <row r="24" spans="2:21">
      <c r="B24" s="83">
        <v>20</v>
      </c>
      <c r="C24" s="84">
        <v>15.92</v>
      </c>
      <c r="D24" s="84">
        <v>16.09</v>
      </c>
      <c r="E24" s="84">
        <v>16.12</v>
      </c>
      <c r="F24" s="84">
        <v>15.93</v>
      </c>
      <c r="G24" s="84">
        <f t="shared" si="0"/>
        <v>16.015000000000001</v>
      </c>
      <c r="H24" s="84">
        <f t="shared" si="1"/>
        <v>0.20000000000000107</v>
      </c>
      <c r="I24" s="84">
        <f t="shared" si="2"/>
        <v>15.966900000000003</v>
      </c>
      <c r="J24" s="84">
        <f t="shared" si="3"/>
        <v>16.176900000000003</v>
      </c>
      <c r="K24" s="84">
        <f t="shared" si="4"/>
        <v>15.756900000000002</v>
      </c>
      <c r="L24" s="84">
        <f t="shared" si="5"/>
        <v>16.196120000000004</v>
      </c>
      <c r="M24" s="84">
        <f t="shared" si="6"/>
        <v>15.737680000000003</v>
      </c>
      <c r="N24" s="84">
        <f t="shared" si="7"/>
        <v>0.31400000000000011</v>
      </c>
      <c r="O24" s="84">
        <f t="shared" si="8"/>
        <v>0.71592000000000022</v>
      </c>
      <c r="P24" s="84">
        <f t="shared" si="9"/>
        <v>0</v>
      </c>
      <c r="R24" s="91">
        <v>2</v>
      </c>
      <c r="S24" s="92">
        <v>1.88</v>
      </c>
      <c r="T24" s="93">
        <v>0</v>
      </c>
      <c r="U24" s="92">
        <v>3.27</v>
      </c>
    </row>
    <row r="25" spans="2:21">
      <c r="B25" s="83">
        <v>21</v>
      </c>
      <c r="C25" s="84">
        <v>16.11</v>
      </c>
      <c r="D25" s="84">
        <v>16.02</v>
      </c>
      <c r="E25" s="84">
        <v>16</v>
      </c>
      <c r="F25" s="84">
        <v>15.88</v>
      </c>
      <c r="G25" s="84">
        <f t="shared" si="0"/>
        <v>16.002499999999998</v>
      </c>
      <c r="H25" s="84">
        <f t="shared" si="1"/>
        <v>0.22999999999999865</v>
      </c>
      <c r="I25" s="84">
        <f t="shared" si="2"/>
        <v>15.966900000000003</v>
      </c>
      <c r="J25" s="84">
        <f t="shared" si="3"/>
        <v>16.176900000000003</v>
      </c>
      <c r="K25" s="84">
        <f t="shared" si="4"/>
        <v>15.756900000000002</v>
      </c>
      <c r="L25" s="84">
        <f t="shared" si="5"/>
        <v>16.196120000000004</v>
      </c>
      <c r="M25" s="84">
        <f t="shared" si="6"/>
        <v>15.737680000000003</v>
      </c>
      <c r="N25" s="84">
        <f t="shared" si="7"/>
        <v>0.31400000000000011</v>
      </c>
      <c r="O25" s="84">
        <f t="shared" si="8"/>
        <v>0.71592000000000022</v>
      </c>
      <c r="P25" s="84">
        <f t="shared" si="9"/>
        <v>0</v>
      </c>
      <c r="R25" s="91">
        <v>3</v>
      </c>
      <c r="S25" s="92">
        <v>1.02</v>
      </c>
      <c r="T25" s="93">
        <v>0</v>
      </c>
      <c r="U25" s="92">
        <v>2.57</v>
      </c>
    </row>
    <row r="26" spans="2:21">
      <c r="B26" s="83">
        <v>22</v>
      </c>
      <c r="C26" s="84">
        <v>15.98</v>
      </c>
      <c r="D26" s="84">
        <v>15.82</v>
      </c>
      <c r="E26" s="84">
        <v>15.89</v>
      </c>
      <c r="F26" s="84">
        <v>15.89</v>
      </c>
      <c r="G26" s="84">
        <f t="shared" si="0"/>
        <v>15.895</v>
      </c>
      <c r="H26" s="84">
        <f t="shared" si="1"/>
        <v>0.16000000000000014</v>
      </c>
      <c r="I26" s="84">
        <f t="shared" si="2"/>
        <v>15.966900000000003</v>
      </c>
      <c r="J26" s="84">
        <f t="shared" si="3"/>
        <v>16.176900000000003</v>
      </c>
      <c r="K26" s="84">
        <f t="shared" si="4"/>
        <v>15.756900000000002</v>
      </c>
      <c r="L26" s="84">
        <f t="shared" si="5"/>
        <v>16.196120000000004</v>
      </c>
      <c r="M26" s="84">
        <f t="shared" si="6"/>
        <v>15.737680000000003</v>
      </c>
      <c r="N26" s="84">
        <f t="shared" si="7"/>
        <v>0.31400000000000011</v>
      </c>
      <c r="O26" s="84">
        <f t="shared" si="8"/>
        <v>0.71592000000000022</v>
      </c>
      <c r="P26" s="84">
        <f t="shared" si="9"/>
        <v>0</v>
      </c>
      <c r="R26" s="91">
        <v>4</v>
      </c>
      <c r="S26" s="92">
        <v>0.73</v>
      </c>
      <c r="T26" s="93">
        <v>0</v>
      </c>
      <c r="U26" s="92">
        <v>2.2799999999999998</v>
      </c>
    </row>
    <row r="27" spans="2:21">
      <c r="B27" s="83">
        <v>23</v>
      </c>
      <c r="C27" s="84">
        <v>16.05</v>
      </c>
      <c r="D27" s="84">
        <v>15.73</v>
      </c>
      <c r="E27" s="84">
        <v>15.73</v>
      </c>
      <c r="F27" s="84">
        <v>15.93</v>
      </c>
      <c r="G27" s="84">
        <f t="shared" si="0"/>
        <v>15.860000000000001</v>
      </c>
      <c r="H27" s="84">
        <f t="shared" si="1"/>
        <v>0.32000000000000028</v>
      </c>
      <c r="I27" s="84">
        <f t="shared" si="2"/>
        <v>15.966900000000003</v>
      </c>
      <c r="J27" s="84">
        <f t="shared" si="3"/>
        <v>16.176900000000003</v>
      </c>
      <c r="K27" s="84">
        <f t="shared" si="4"/>
        <v>15.756900000000002</v>
      </c>
      <c r="L27" s="84">
        <f t="shared" si="5"/>
        <v>16.196120000000004</v>
      </c>
      <c r="M27" s="84">
        <f t="shared" si="6"/>
        <v>15.737680000000003</v>
      </c>
      <c r="N27" s="84">
        <f t="shared" si="7"/>
        <v>0.31400000000000011</v>
      </c>
      <c r="O27" s="84">
        <f t="shared" si="8"/>
        <v>0.71592000000000022</v>
      </c>
      <c r="P27" s="84">
        <f t="shared" si="9"/>
        <v>0</v>
      </c>
      <c r="R27" s="91">
        <v>5</v>
      </c>
      <c r="S27" s="92">
        <v>0.57999999999999996</v>
      </c>
      <c r="T27" s="93">
        <v>0</v>
      </c>
      <c r="U27" s="92">
        <v>2.11</v>
      </c>
    </row>
    <row r="28" spans="2:21">
      <c r="B28" s="83">
        <v>24</v>
      </c>
      <c r="C28" s="84">
        <v>16.010000000000002</v>
      </c>
      <c r="D28" s="84">
        <v>16.010000000000002</v>
      </c>
      <c r="E28" s="84">
        <v>15.89</v>
      </c>
      <c r="F28" s="84">
        <v>15.86</v>
      </c>
      <c r="G28" s="84">
        <f t="shared" si="0"/>
        <v>15.942500000000001</v>
      </c>
      <c r="H28" s="84">
        <f t="shared" si="1"/>
        <v>0.15000000000000213</v>
      </c>
      <c r="I28" s="84">
        <f t="shared" si="2"/>
        <v>15.966900000000003</v>
      </c>
      <c r="J28" s="84">
        <f t="shared" si="3"/>
        <v>16.176900000000003</v>
      </c>
      <c r="K28" s="84">
        <f t="shared" si="4"/>
        <v>15.756900000000002</v>
      </c>
      <c r="L28" s="84">
        <f t="shared" si="5"/>
        <v>16.196120000000004</v>
      </c>
      <c r="M28" s="84">
        <f t="shared" si="6"/>
        <v>15.737680000000003</v>
      </c>
      <c r="N28" s="84">
        <f t="shared" si="7"/>
        <v>0.31400000000000011</v>
      </c>
      <c r="O28" s="84">
        <f t="shared" si="8"/>
        <v>0.71592000000000022</v>
      </c>
      <c r="P28" s="84">
        <f t="shared" si="9"/>
        <v>0</v>
      </c>
      <c r="R28" s="91">
        <v>6</v>
      </c>
      <c r="S28" s="92">
        <v>0.48</v>
      </c>
      <c r="T28" s="93">
        <v>0</v>
      </c>
      <c r="U28" s="92">
        <v>2</v>
      </c>
    </row>
    <row r="29" spans="2:21">
      <c r="B29" s="83">
        <v>25</v>
      </c>
      <c r="C29" s="84">
        <v>16.079999999999998</v>
      </c>
      <c r="D29" s="84">
        <v>15.78</v>
      </c>
      <c r="E29" s="84">
        <v>15.92</v>
      </c>
      <c r="F29" s="84">
        <v>15.98</v>
      </c>
      <c r="G29" s="84">
        <f t="shared" si="0"/>
        <v>15.940000000000001</v>
      </c>
      <c r="H29" s="84">
        <f t="shared" si="1"/>
        <v>0.29999999999999893</v>
      </c>
      <c r="I29" s="84">
        <f t="shared" si="2"/>
        <v>15.966900000000003</v>
      </c>
      <c r="J29" s="84">
        <f t="shared" si="3"/>
        <v>16.176900000000003</v>
      </c>
      <c r="K29" s="84">
        <f t="shared" si="4"/>
        <v>15.756900000000002</v>
      </c>
      <c r="L29" s="84">
        <f t="shared" si="5"/>
        <v>16.196120000000004</v>
      </c>
      <c r="M29" s="84">
        <f t="shared" si="6"/>
        <v>15.737680000000003</v>
      </c>
      <c r="N29" s="84">
        <f t="shared" si="7"/>
        <v>0.31400000000000011</v>
      </c>
      <c r="O29" s="84">
        <f t="shared" si="8"/>
        <v>0.71592000000000022</v>
      </c>
      <c r="P29" s="84">
        <f t="shared" si="9"/>
        <v>0</v>
      </c>
      <c r="R29" s="91">
        <v>7</v>
      </c>
      <c r="S29" s="92">
        <v>0.42</v>
      </c>
      <c r="T29" s="92">
        <v>0.08</v>
      </c>
      <c r="U29" s="92">
        <v>1.92</v>
      </c>
    </row>
    <row r="30" spans="2:21">
      <c r="R30" s="91">
        <v>8</v>
      </c>
      <c r="S30" s="92">
        <v>0.37</v>
      </c>
      <c r="T30" s="92">
        <v>0.14000000000000001</v>
      </c>
      <c r="U30" s="92">
        <v>1.86</v>
      </c>
    </row>
    <row r="31" spans="2:21">
      <c r="R31" s="91">
        <v>9</v>
      </c>
      <c r="S31" s="92">
        <v>0.34</v>
      </c>
      <c r="T31" s="92">
        <v>0.18</v>
      </c>
      <c r="U31" s="92">
        <v>1.82</v>
      </c>
    </row>
    <row r="32" spans="2:21">
      <c r="R32" s="91">
        <v>10</v>
      </c>
      <c r="S32" s="92">
        <v>0.31</v>
      </c>
      <c r="T32" s="92">
        <v>0.22</v>
      </c>
      <c r="U32" s="92">
        <v>1.78</v>
      </c>
    </row>
    <row r="33" spans="18:21">
      <c r="R33" s="91">
        <v>11</v>
      </c>
      <c r="S33" s="92">
        <v>0.28999999999999998</v>
      </c>
      <c r="T33" s="92">
        <v>0.26</v>
      </c>
      <c r="U33" s="92">
        <v>1.74</v>
      </c>
    </row>
    <row r="34" spans="18:21">
      <c r="R34" s="91">
        <v>12</v>
      </c>
      <c r="S34" s="92">
        <v>0.27</v>
      </c>
      <c r="T34" s="92">
        <v>0.28000000000000003</v>
      </c>
      <c r="U34" s="92">
        <v>1.72</v>
      </c>
    </row>
    <row r="35" spans="18:21">
      <c r="R35" s="91">
        <v>13</v>
      </c>
      <c r="S35" s="92">
        <v>0.25</v>
      </c>
      <c r="T35" s="92">
        <v>0.31</v>
      </c>
      <c r="U35" s="92">
        <v>1.69</v>
      </c>
    </row>
    <row r="36" spans="18:21">
      <c r="R36" s="91">
        <v>14</v>
      </c>
      <c r="S36" s="92">
        <v>0.24</v>
      </c>
      <c r="T36" s="92">
        <v>0.33</v>
      </c>
      <c r="U36" s="92">
        <v>1.67</v>
      </c>
    </row>
    <row r="37" spans="18:21">
      <c r="R37" s="91">
        <v>15</v>
      </c>
      <c r="S37" s="92">
        <v>0.22</v>
      </c>
      <c r="T37" s="92">
        <v>0.35</v>
      </c>
      <c r="U37" s="92">
        <v>1.65</v>
      </c>
    </row>
    <row r="38" spans="18:21">
      <c r="R38" s="91">
        <v>16</v>
      </c>
      <c r="S38" s="92">
        <v>0.21</v>
      </c>
      <c r="T38" s="92">
        <v>0.36</v>
      </c>
      <c r="U38" s="92">
        <v>1.64</v>
      </c>
    </row>
    <row r="39" spans="18:21">
      <c r="R39" s="91">
        <v>17</v>
      </c>
      <c r="S39" s="92">
        <v>0.2</v>
      </c>
      <c r="T39" s="92">
        <v>0.38</v>
      </c>
      <c r="U39" s="92">
        <v>1.62</v>
      </c>
    </row>
    <row r="40" spans="18:21">
      <c r="R40" s="91">
        <v>18</v>
      </c>
      <c r="S40" s="92">
        <v>0.19</v>
      </c>
      <c r="T40" s="92">
        <v>0.39</v>
      </c>
      <c r="U40" s="92">
        <v>1.61</v>
      </c>
    </row>
    <row r="41" spans="18:21">
      <c r="R41" s="91">
        <v>19</v>
      </c>
      <c r="S41" s="92">
        <v>0.19</v>
      </c>
      <c r="T41" s="92">
        <v>0.4</v>
      </c>
      <c r="U41" s="92">
        <v>1.6</v>
      </c>
    </row>
    <row r="42" spans="18:21">
      <c r="R42" s="91">
        <v>20</v>
      </c>
      <c r="S42" s="92">
        <v>0.18</v>
      </c>
      <c r="T42" s="92">
        <v>0.41</v>
      </c>
      <c r="U42" s="92">
        <v>1.59</v>
      </c>
    </row>
    <row r="43" spans="18:21">
      <c r="R43" s="91">
        <v>21</v>
      </c>
      <c r="S43" s="92">
        <v>0.17</v>
      </c>
      <c r="T43" s="92">
        <v>0.43</v>
      </c>
      <c r="U43" s="92">
        <v>1.58</v>
      </c>
    </row>
    <row r="44" spans="18:21">
      <c r="R44" s="91">
        <v>22</v>
      </c>
      <c r="S44" s="92">
        <v>0.17</v>
      </c>
      <c r="T44" s="92">
        <v>0.43</v>
      </c>
      <c r="U44" s="92">
        <v>1.57</v>
      </c>
    </row>
    <row r="45" spans="18:21">
      <c r="R45" s="91">
        <v>23</v>
      </c>
      <c r="S45" s="92">
        <v>0.16</v>
      </c>
      <c r="T45" s="92">
        <v>0.44</v>
      </c>
      <c r="U45" s="92">
        <v>1.56</v>
      </c>
    </row>
    <row r="46" spans="18:21">
      <c r="R46" s="91">
        <v>24</v>
      </c>
      <c r="S46" s="92">
        <v>0.16</v>
      </c>
      <c r="T46" s="92">
        <v>0.45</v>
      </c>
      <c r="U46" s="92">
        <v>1.55</v>
      </c>
    </row>
    <row r="47" spans="18:21">
      <c r="R47" s="91">
        <v>25</v>
      </c>
      <c r="S47" s="92">
        <v>0.15</v>
      </c>
      <c r="T47" s="92">
        <v>0.46</v>
      </c>
      <c r="U47" s="92">
        <v>1.54</v>
      </c>
    </row>
  </sheetData>
  <mergeCells count="1">
    <mergeCell ref="T22:U22"/>
  </mergeCells>
  <pageMargins left="0.7" right="0.7" top="0.75" bottom="0.75" header="0.3" footer="0.3"/>
  <pageSetup paperSize="9" orientation="portrait" horizontalDpi="300" verticalDpi="0" r:id="rId1"/>
  <ignoredErrors>
    <ignoredError sqref="G5:G29 H5:H29 G2:H2 G1:H1 P1:Q2" formulaRange="1"/>
  </ignoredError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88DE-C8B0-46FD-B18D-DF9F1EA23461}">
  <dimension ref="B1:J23"/>
  <sheetViews>
    <sheetView topLeftCell="A4" workbookViewId="0">
      <selection activeCell="J4" sqref="J4"/>
    </sheetView>
  </sheetViews>
  <sheetFormatPr defaultRowHeight="14.5"/>
  <cols>
    <col min="3" max="3" width="14.6328125" bestFit="1" customWidth="1"/>
    <col min="4" max="4" width="19.08984375" customWidth="1"/>
    <col min="5" max="5" width="9.1796875" bestFit="1" customWidth="1"/>
  </cols>
  <sheetData>
    <row r="1" spans="2:10">
      <c r="B1" s="86" t="s">
        <v>137</v>
      </c>
    </row>
    <row r="2" spans="2:10">
      <c r="I2">
        <f>COUNT(B4:B23)</f>
        <v>20</v>
      </c>
      <c r="J2" t="s">
        <v>128</v>
      </c>
    </row>
    <row r="3" spans="2:10">
      <c r="B3" s="81" t="s">
        <v>126</v>
      </c>
      <c r="C3" s="81" t="s">
        <v>127</v>
      </c>
      <c r="D3" s="81" t="s">
        <v>135</v>
      </c>
      <c r="E3" s="81" t="s">
        <v>136</v>
      </c>
      <c r="F3" s="81" t="s">
        <v>133</v>
      </c>
      <c r="G3" s="81" t="s">
        <v>134</v>
      </c>
      <c r="I3" s="88">
        <v>20</v>
      </c>
      <c r="J3" t="s">
        <v>129</v>
      </c>
    </row>
    <row r="4" spans="2:10">
      <c r="B4" s="80">
        <v>1</v>
      </c>
      <c r="C4" s="80">
        <v>3</v>
      </c>
      <c r="D4" s="84">
        <f>C4/$I$3</f>
        <v>0.15</v>
      </c>
      <c r="E4" s="92">
        <f>$I$5</f>
        <v>0.1</v>
      </c>
      <c r="F4" s="1">
        <f>$I$7</f>
        <v>0.30124611797498113</v>
      </c>
      <c r="G4" s="1">
        <f>$I$8</f>
        <v>0</v>
      </c>
      <c r="I4" s="88">
        <v>3</v>
      </c>
      <c r="J4" t="s">
        <v>130</v>
      </c>
    </row>
    <row r="5" spans="2:10">
      <c r="B5" s="80">
        <v>2</v>
      </c>
      <c r="C5" s="80">
        <v>2</v>
      </c>
      <c r="D5" s="84">
        <f t="shared" ref="D5:D23" si="0">C5/$I$3</f>
        <v>0.1</v>
      </c>
      <c r="E5" s="92">
        <f t="shared" ref="E5:E23" si="1">$I$5</f>
        <v>0.1</v>
      </c>
      <c r="F5" s="1">
        <f t="shared" ref="F5:F23" si="2">$I$7</f>
        <v>0.30124611797498113</v>
      </c>
      <c r="G5" s="1">
        <f t="shared" ref="G5:G23" si="3">$I$8</f>
        <v>0</v>
      </c>
      <c r="I5" s="85">
        <f>AVERAGE(D4:D23)</f>
        <v>0.1</v>
      </c>
      <c r="J5" t="s">
        <v>131</v>
      </c>
    </row>
    <row r="6" spans="2:10">
      <c r="B6" s="80">
        <v>3</v>
      </c>
      <c r="C6" s="80">
        <v>1</v>
      </c>
      <c r="D6" s="84">
        <f t="shared" si="0"/>
        <v>0.05</v>
      </c>
      <c r="E6" s="92">
        <f t="shared" si="1"/>
        <v>0.1</v>
      </c>
      <c r="F6" s="1">
        <f t="shared" si="2"/>
        <v>0.30124611797498113</v>
      </c>
      <c r="G6" s="1">
        <f t="shared" si="3"/>
        <v>0</v>
      </c>
      <c r="I6">
        <f>SQRT((I5*(1-I5))/I3)</f>
        <v>6.7082039324993695E-2</v>
      </c>
      <c r="J6" t="s">
        <v>132</v>
      </c>
    </row>
    <row r="7" spans="2:10">
      <c r="B7" s="80">
        <v>4</v>
      </c>
      <c r="C7" s="80">
        <v>2</v>
      </c>
      <c r="D7" s="84">
        <f t="shared" si="0"/>
        <v>0.1</v>
      </c>
      <c r="E7" s="92">
        <f t="shared" si="1"/>
        <v>0.1</v>
      </c>
      <c r="F7" s="1">
        <f t="shared" si="2"/>
        <v>0.30124611797498113</v>
      </c>
      <c r="G7" s="1">
        <f t="shared" si="3"/>
        <v>0</v>
      </c>
      <c r="I7">
        <f>I5+I4*I6</f>
        <v>0.30124611797498113</v>
      </c>
      <c r="J7" t="s">
        <v>133</v>
      </c>
    </row>
    <row r="8" spans="2:10">
      <c r="B8" s="80">
        <v>5</v>
      </c>
      <c r="C8" s="80">
        <v>1</v>
      </c>
      <c r="D8" s="84">
        <f t="shared" si="0"/>
        <v>0.05</v>
      </c>
      <c r="E8" s="92">
        <f t="shared" si="1"/>
        <v>0.1</v>
      </c>
      <c r="F8" s="1">
        <f t="shared" si="2"/>
        <v>0.30124611797498113</v>
      </c>
      <c r="G8" s="1">
        <f t="shared" si="3"/>
        <v>0</v>
      </c>
      <c r="I8">
        <f>MAX(0, I5-I4*I6)</f>
        <v>0</v>
      </c>
      <c r="J8" t="s">
        <v>134</v>
      </c>
    </row>
    <row r="9" spans="2:10">
      <c r="B9" s="80">
        <v>6</v>
      </c>
      <c r="C9" s="80">
        <v>3</v>
      </c>
      <c r="D9" s="84">
        <f t="shared" si="0"/>
        <v>0.15</v>
      </c>
      <c r="E9" s="92">
        <f t="shared" si="1"/>
        <v>0.1</v>
      </c>
      <c r="F9" s="1">
        <f t="shared" si="2"/>
        <v>0.30124611797498113</v>
      </c>
      <c r="G9" s="1">
        <f t="shared" si="3"/>
        <v>0</v>
      </c>
    </row>
    <row r="10" spans="2:10">
      <c r="B10" s="80">
        <v>7</v>
      </c>
      <c r="C10" s="80">
        <v>3</v>
      </c>
      <c r="D10" s="84">
        <f t="shared" si="0"/>
        <v>0.15</v>
      </c>
      <c r="E10" s="92">
        <f t="shared" si="1"/>
        <v>0.1</v>
      </c>
      <c r="F10" s="1">
        <f t="shared" si="2"/>
        <v>0.30124611797498113</v>
      </c>
      <c r="G10" s="1">
        <f t="shared" si="3"/>
        <v>0</v>
      </c>
    </row>
    <row r="11" spans="2:10">
      <c r="B11" s="80">
        <v>8</v>
      </c>
      <c r="C11" s="80">
        <v>2</v>
      </c>
      <c r="D11" s="84">
        <f t="shared" si="0"/>
        <v>0.1</v>
      </c>
      <c r="E11" s="92">
        <f t="shared" si="1"/>
        <v>0.1</v>
      </c>
      <c r="F11" s="1">
        <f t="shared" si="2"/>
        <v>0.30124611797498113</v>
      </c>
      <c r="G11" s="1">
        <f t="shared" si="3"/>
        <v>0</v>
      </c>
    </row>
    <row r="12" spans="2:10">
      <c r="B12" s="80">
        <v>9</v>
      </c>
      <c r="C12" s="80">
        <v>1</v>
      </c>
      <c r="D12" s="84">
        <f t="shared" si="0"/>
        <v>0.05</v>
      </c>
      <c r="E12" s="92">
        <f t="shared" si="1"/>
        <v>0.1</v>
      </c>
      <c r="F12" s="1">
        <f t="shared" si="2"/>
        <v>0.30124611797498113</v>
      </c>
      <c r="G12" s="1">
        <f t="shared" si="3"/>
        <v>0</v>
      </c>
    </row>
    <row r="13" spans="2:10">
      <c r="B13" s="80">
        <v>10</v>
      </c>
      <c r="C13" s="80">
        <v>2</v>
      </c>
      <c r="D13" s="84">
        <f t="shared" si="0"/>
        <v>0.1</v>
      </c>
      <c r="E13" s="92">
        <f t="shared" si="1"/>
        <v>0.1</v>
      </c>
      <c r="F13" s="1">
        <f t="shared" si="2"/>
        <v>0.30124611797498113</v>
      </c>
      <c r="G13" s="1">
        <f t="shared" si="3"/>
        <v>0</v>
      </c>
    </row>
    <row r="14" spans="2:10">
      <c r="B14" s="80">
        <v>11</v>
      </c>
      <c r="C14" s="80">
        <v>3</v>
      </c>
      <c r="D14" s="84">
        <f t="shared" si="0"/>
        <v>0.15</v>
      </c>
      <c r="E14" s="92">
        <f t="shared" si="1"/>
        <v>0.1</v>
      </c>
      <c r="F14" s="1">
        <f t="shared" si="2"/>
        <v>0.30124611797498113</v>
      </c>
      <c r="G14" s="1">
        <f t="shared" si="3"/>
        <v>0</v>
      </c>
    </row>
    <row r="15" spans="2:10">
      <c r="B15" s="80">
        <v>12</v>
      </c>
      <c r="C15" s="80">
        <v>2</v>
      </c>
      <c r="D15" s="84">
        <f t="shared" si="0"/>
        <v>0.1</v>
      </c>
      <c r="E15" s="92">
        <f t="shared" si="1"/>
        <v>0.1</v>
      </c>
      <c r="F15" s="1">
        <f t="shared" si="2"/>
        <v>0.30124611797498113</v>
      </c>
      <c r="G15" s="1">
        <f t="shared" si="3"/>
        <v>0</v>
      </c>
    </row>
    <row r="16" spans="2:10">
      <c r="B16" s="80">
        <v>13</v>
      </c>
      <c r="C16" s="80">
        <v>2</v>
      </c>
      <c r="D16" s="84">
        <f t="shared" si="0"/>
        <v>0.1</v>
      </c>
      <c r="E16" s="92">
        <f t="shared" si="1"/>
        <v>0.1</v>
      </c>
      <c r="F16" s="1">
        <f t="shared" si="2"/>
        <v>0.30124611797498113</v>
      </c>
      <c r="G16" s="1">
        <f t="shared" si="3"/>
        <v>0</v>
      </c>
    </row>
    <row r="17" spans="2:7">
      <c r="B17" s="80">
        <v>14</v>
      </c>
      <c r="C17" s="80">
        <v>1</v>
      </c>
      <c r="D17" s="84">
        <f t="shared" si="0"/>
        <v>0.05</v>
      </c>
      <c r="E17" s="92">
        <f t="shared" si="1"/>
        <v>0.1</v>
      </c>
      <c r="F17" s="1">
        <f t="shared" si="2"/>
        <v>0.30124611797498113</v>
      </c>
      <c r="G17" s="1">
        <f t="shared" si="3"/>
        <v>0</v>
      </c>
    </row>
    <row r="18" spans="2:7">
      <c r="B18" s="80">
        <v>15</v>
      </c>
      <c r="C18" s="80">
        <v>1</v>
      </c>
      <c r="D18" s="84">
        <f t="shared" si="0"/>
        <v>0.05</v>
      </c>
      <c r="E18" s="92">
        <f t="shared" si="1"/>
        <v>0.1</v>
      </c>
      <c r="F18" s="1">
        <f t="shared" si="2"/>
        <v>0.30124611797498113</v>
      </c>
      <c r="G18" s="1">
        <f t="shared" si="3"/>
        <v>0</v>
      </c>
    </row>
    <row r="19" spans="2:7">
      <c r="B19" s="80">
        <v>16</v>
      </c>
      <c r="C19" s="80">
        <v>2</v>
      </c>
      <c r="D19" s="84">
        <f t="shared" si="0"/>
        <v>0.1</v>
      </c>
      <c r="E19" s="92">
        <f t="shared" si="1"/>
        <v>0.1</v>
      </c>
      <c r="F19" s="1">
        <f t="shared" si="2"/>
        <v>0.30124611797498113</v>
      </c>
      <c r="G19" s="1">
        <f t="shared" si="3"/>
        <v>0</v>
      </c>
    </row>
    <row r="20" spans="2:7">
      <c r="B20" s="80">
        <v>17</v>
      </c>
      <c r="C20" s="80">
        <v>4</v>
      </c>
      <c r="D20" s="84">
        <f t="shared" si="0"/>
        <v>0.2</v>
      </c>
      <c r="E20" s="92">
        <f t="shared" si="1"/>
        <v>0.1</v>
      </c>
      <c r="F20" s="1">
        <f t="shared" si="2"/>
        <v>0.30124611797498113</v>
      </c>
      <c r="G20" s="1">
        <f t="shared" si="3"/>
        <v>0</v>
      </c>
    </row>
    <row r="21" spans="2:7">
      <c r="B21" s="80">
        <v>18</v>
      </c>
      <c r="C21" s="80">
        <v>3</v>
      </c>
      <c r="D21" s="84">
        <f t="shared" si="0"/>
        <v>0.15</v>
      </c>
      <c r="E21" s="92">
        <f t="shared" si="1"/>
        <v>0.1</v>
      </c>
      <c r="F21" s="1">
        <f t="shared" si="2"/>
        <v>0.30124611797498113</v>
      </c>
      <c r="G21" s="1">
        <f t="shared" si="3"/>
        <v>0</v>
      </c>
    </row>
    <row r="22" spans="2:7">
      <c r="B22" s="80">
        <v>19</v>
      </c>
      <c r="C22" s="80">
        <v>1</v>
      </c>
      <c r="D22" s="84">
        <f t="shared" si="0"/>
        <v>0.05</v>
      </c>
      <c r="E22" s="92">
        <f t="shared" si="1"/>
        <v>0.1</v>
      </c>
      <c r="F22" s="1">
        <f t="shared" si="2"/>
        <v>0.30124611797498113</v>
      </c>
      <c r="G22" s="1">
        <f t="shared" si="3"/>
        <v>0</v>
      </c>
    </row>
    <row r="23" spans="2:7">
      <c r="B23" s="80">
        <v>20</v>
      </c>
      <c r="C23" s="80">
        <v>1</v>
      </c>
      <c r="D23" s="84">
        <f t="shared" si="0"/>
        <v>0.05</v>
      </c>
      <c r="E23" s="92">
        <f t="shared" si="1"/>
        <v>0.1</v>
      </c>
      <c r="F23" s="1">
        <f t="shared" si="2"/>
        <v>0.30124611797498113</v>
      </c>
      <c r="G23" s="1">
        <f t="shared" si="3"/>
        <v>0</v>
      </c>
    </row>
  </sheetData>
  <pageMargins left="0.7" right="0.7" top="0.75" bottom="0.75" header="0.3" footer="0.3"/>
  <pageSetup paperSize="9" orientation="portrait" horizontalDpi="30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5707-E91F-47E1-A910-E2AC1CDC45B7}">
  <dimension ref="B2:U35"/>
  <sheetViews>
    <sheetView workbookViewId="0">
      <selection activeCell="P10" sqref="P10"/>
    </sheetView>
  </sheetViews>
  <sheetFormatPr defaultRowHeight="14.5"/>
  <cols>
    <col min="3" max="3" width="14.36328125" bestFit="1" customWidth="1"/>
  </cols>
  <sheetData>
    <row r="2" spans="2:21">
      <c r="B2" s="96"/>
      <c r="L2" s="86" t="s">
        <v>144</v>
      </c>
      <c r="U2">
        <v>20</v>
      </c>
    </row>
    <row r="3" spans="2:21">
      <c r="B3" s="97" t="s">
        <v>138</v>
      </c>
      <c r="C3" s="90" t="s">
        <v>141</v>
      </c>
      <c r="D3" s="1" t="s">
        <v>143</v>
      </c>
      <c r="E3" s="1" t="s">
        <v>142</v>
      </c>
      <c r="F3" s="1" t="s">
        <v>142</v>
      </c>
      <c r="G3">
        <f>COUNT(B4:B23)</f>
        <v>20</v>
      </c>
      <c r="H3" t="s">
        <v>139</v>
      </c>
      <c r="L3">
        <v>0.9</v>
      </c>
      <c r="M3">
        <v>0.8</v>
      </c>
      <c r="N3">
        <f>L3+M3*(1-L3)</f>
        <v>0.98</v>
      </c>
      <c r="U3">
        <v>3</v>
      </c>
    </row>
    <row r="4" spans="2:21">
      <c r="B4" s="98">
        <v>1</v>
      </c>
      <c r="C4" s="98">
        <v>3</v>
      </c>
      <c r="D4" s="1">
        <f>$G$4</f>
        <v>2.2000000000000002</v>
      </c>
      <c r="E4" s="1">
        <f>$G$6</f>
        <v>6.6497190922573983</v>
      </c>
      <c r="F4" s="1">
        <f>$G$7</f>
        <v>0</v>
      </c>
      <c r="G4">
        <f>AVERAGE(C4:C23)</f>
        <v>2.2000000000000002</v>
      </c>
      <c r="H4" t="s">
        <v>140</v>
      </c>
    </row>
    <row r="5" spans="2:21">
      <c r="B5" s="1">
        <v>2</v>
      </c>
      <c r="C5" s="1">
        <v>2</v>
      </c>
      <c r="D5" s="1">
        <f t="shared" ref="D5:D23" si="0">$G$4</f>
        <v>2.2000000000000002</v>
      </c>
      <c r="E5" s="1">
        <f t="shared" ref="E5:E23" si="1">$G$6</f>
        <v>6.6497190922573983</v>
      </c>
      <c r="F5" s="1">
        <f t="shared" ref="F5:F23" si="2">$G$7</f>
        <v>0</v>
      </c>
      <c r="G5" s="88">
        <v>3</v>
      </c>
      <c r="H5" t="s">
        <v>130</v>
      </c>
      <c r="L5">
        <v>0.9</v>
      </c>
      <c r="M5">
        <v>0.85</v>
      </c>
      <c r="N5">
        <v>0.9</v>
      </c>
      <c r="O5">
        <v>0.95</v>
      </c>
    </row>
    <row r="6" spans="2:21">
      <c r="B6" s="1">
        <v>3</v>
      </c>
      <c r="C6" s="1">
        <v>3</v>
      </c>
      <c r="D6" s="1">
        <f t="shared" si="0"/>
        <v>2.2000000000000002</v>
      </c>
      <c r="E6" s="1">
        <f t="shared" si="1"/>
        <v>6.6497190922573983</v>
      </c>
      <c r="F6" s="1">
        <f t="shared" si="2"/>
        <v>0</v>
      </c>
      <c r="G6">
        <f>G4+G5*SQRT(G4)</f>
        <v>6.6497190922573983</v>
      </c>
      <c r="H6" t="s">
        <v>142</v>
      </c>
      <c r="M6">
        <v>0.85</v>
      </c>
      <c r="N6">
        <v>0.9</v>
      </c>
    </row>
    <row r="7" spans="2:21">
      <c r="B7" s="1">
        <v>4</v>
      </c>
      <c r="C7" s="1">
        <v>1</v>
      </c>
      <c r="D7" s="1">
        <f t="shared" si="0"/>
        <v>2.2000000000000002</v>
      </c>
      <c r="E7" s="1">
        <f t="shared" si="1"/>
        <v>6.6497190922573983</v>
      </c>
      <c r="F7" s="1">
        <f t="shared" si="2"/>
        <v>0</v>
      </c>
      <c r="G7">
        <f>MAX(0, G4-G5*SQRT(G4))</f>
        <v>0</v>
      </c>
      <c r="H7" t="s">
        <v>142</v>
      </c>
      <c r="L7">
        <f>L5</f>
        <v>0.9</v>
      </c>
      <c r="M7">
        <f>M5+(1-M5)*M6</f>
        <v>0.97750000000000004</v>
      </c>
      <c r="N7">
        <f>N5+(1-N5)*N6</f>
        <v>0.99</v>
      </c>
      <c r="O7">
        <f>O5</f>
        <v>0.95</v>
      </c>
      <c r="P7">
        <f>PRODUCT(L7:O7)</f>
        <v>0.82740487499999993</v>
      </c>
      <c r="Q7">
        <v>0.82740487500000004</v>
      </c>
    </row>
    <row r="8" spans="2:21">
      <c r="B8" s="1">
        <v>5</v>
      </c>
      <c r="C8" s="1">
        <v>3</v>
      </c>
      <c r="D8" s="1">
        <f t="shared" si="0"/>
        <v>2.2000000000000002</v>
      </c>
      <c r="E8" s="1">
        <f t="shared" si="1"/>
        <v>6.6497190922573983</v>
      </c>
      <c r="F8" s="1">
        <f t="shared" si="2"/>
        <v>0</v>
      </c>
    </row>
    <row r="9" spans="2:21">
      <c r="B9" s="1">
        <v>6</v>
      </c>
      <c r="C9" s="1">
        <v>3</v>
      </c>
      <c r="D9" s="1">
        <f t="shared" si="0"/>
        <v>2.2000000000000002</v>
      </c>
      <c r="E9" s="1">
        <f t="shared" si="1"/>
        <v>6.6497190922573983</v>
      </c>
      <c r="F9" s="1">
        <f t="shared" si="2"/>
        <v>0</v>
      </c>
      <c r="P9" s="99">
        <f>0.9^3</f>
        <v>0.72900000000000009</v>
      </c>
    </row>
    <row r="10" spans="2:21">
      <c r="B10" s="1">
        <v>7</v>
      </c>
      <c r="C10" s="1">
        <v>2</v>
      </c>
      <c r="D10" s="1">
        <f t="shared" si="0"/>
        <v>2.2000000000000002</v>
      </c>
      <c r="E10" s="1">
        <f t="shared" si="1"/>
        <v>6.6497190922573983</v>
      </c>
      <c r="F10" s="1">
        <f t="shared" si="2"/>
        <v>0</v>
      </c>
      <c r="P10" s="99">
        <f>EXP(-0.008*100)</f>
        <v>0.44932896411722156</v>
      </c>
    </row>
    <row r="11" spans="2:21">
      <c r="B11" s="1">
        <v>8</v>
      </c>
      <c r="C11" s="1">
        <v>1</v>
      </c>
      <c r="D11" s="1">
        <f t="shared" si="0"/>
        <v>2.2000000000000002</v>
      </c>
      <c r="E11" s="1">
        <f t="shared" si="1"/>
        <v>6.6497190922573983</v>
      </c>
      <c r="F11" s="1">
        <f t="shared" si="2"/>
        <v>0</v>
      </c>
    </row>
    <row r="12" spans="2:21">
      <c r="B12" s="1">
        <v>9</v>
      </c>
      <c r="C12" s="1">
        <v>3</v>
      </c>
      <c r="D12" s="1">
        <f t="shared" si="0"/>
        <v>2.2000000000000002</v>
      </c>
      <c r="E12" s="1">
        <f t="shared" si="1"/>
        <v>6.6497190922573983</v>
      </c>
      <c r="F12" s="1">
        <f t="shared" si="2"/>
        <v>0</v>
      </c>
    </row>
    <row r="13" spans="2:21">
      <c r="B13" s="1">
        <v>10</v>
      </c>
      <c r="C13" s="1">
        <v>1</v>
      </c>
      <c r="D13" s="1">
        <f t="shared" si="0"/>
        <v>2.2000000000000002</v>
      </c>
      <c r="E13" s="1">
        <f t="shared" si="1"/>
        <v>6.6497190922573983</v>
      </c>
      <c r="F13" s="1">
        <f t="shared" si="2"/>
        <v>0</v>
      </c>
    </row>
    <row r="14" spans="2:21">
      <c r="B14" s="1">
        <v>11</v>
      </c>
      <c r="C14" s="1">
        <v>3</v>
      </c>
      <c r="D14" s="1">
        <f t="shared" si="0"/>
        <v>2.2000000000000002</v>
      </c>
      <c r="E14" s="1">
        <f t="shared" si="1"/>
        <v>6.6497190922573983</v>
      </c>
      <c r="F14" s="1">
        <f t="shared" si="2"/>
        <v>0</v>
      </c>
    </row>
    <row r="15" spans="2:21">
      <c r="B15" s="1">
        <v>12</v>
      </c>
      <c r="C15" s="1">
        <v>4</v>
      </c>
      <c r="D15" s="1">
        <f t="shared" si="0"/>
        <v>2.2000000000000002</v>
      </c>
      <c r="E15" s="1">
        <f t="shared" si="1"/>
        <v>6.6497190922573983</v>
      </c>
      <c r="F15" s="1">
        <f t="shared" si="2"/>
        <v>0</v>
      </c>
    </row>
    <row r="16" spans="2:21">
      <c r="B16" s="1">
        <v>13</v>
      </c>
      <c r="C16" s="1">
        <v>2</v>
      </c>
      <c r="D16" s="1">
        <f t="shared" si="0"/>
        <v>2.2000000000000002</v>
      </c>
      <c r="E16" s="1">
        <f t="shared" si="1"/>
        <v>6.6497190922573983</v>
      </c>
      <c r="F16" s="1">
        <f t="shared" si="2"/>
        <v>0</v>
      </c>
    </row>
    <row r="17" spans="2:7">
      <c r="B17" s="1">
        <v>14</v>
      </c>
      <c r="C17" s="1">
        <v>1</v>
      </c>
      <c r="D17" s="1">
        <f t="shared" si="0"/>
        <v>2.2000000000000002</v>
      </c>
      <c r="E17" s="1">
        <f t="shared" si="1"/>
        <v>6.6497190922573983</v>
      </c>
      <c r="F17" s="1">
        <f t="shared" si="2"/>
        <v>0</v>
      </c>
    </row>
    <row r="18" spans="2:7">
      <c r="B18" s="1">
        <v>15</v>
      </c>
      <c r="C18" s="1">
        <v>1</v>
      </c>
      <c r="D18" s="1">
        <f t="shared" si="0"/>
        <v>2.2000000000000002</v>
      </c>
      <c r="E18" s="1">
        <f t="shared" si="1"/>
        <v>6.6497190922573983</v>
      </c>
      <c r="F18" s="1">
        <f t="shared" si="2"/>
        <v>0</v>
      </c>
    </row>
    <row r="19" spans="2:7">
      <c r="B19" s="1">
        <v>16</v>
      </c>
      <c r="C19" s="1">
        <v>1</v>
      </c>
      <c r="D19" s="1">
        <f t="shared" si="0"/>
        <v>2.2000000000000002</v>
      </c>
      <c r="E19" s="1">
        <f t="shared" si="1"/>
        <v>6.6497190922573983</v>
      </c>
      <c r="F19" s="1">
        <f t="shared" si="2"/>
        <v>0</v>
      </c>
    </row>
    <row r="20" spans="2:7">
      <c r="B20" s="1">
        <v>17</v>
      </c>
      <c r="C20" s="1">
        <v>3</v>
      </c>
      <c r="D20" s="1">
        <f t="shared" si="0"/>
        <v>2.2000000000000002</v>
      </c>
      <c r="E20" s="1">
        <f t="shared" si="1"/>
        <v>6.6497190922573983</v>
      </c>
      <c r="F20" s="1">
        <f t="shared" si="2"/>
        <v>0</v>
      </c>
    </row>
    <row r="21" spans="2:7">
      <c r="B21" s="1">
        <v>18</v>
      </c>
      <c r="C21" s="1">
        <v>2</v>
      </c>
      <c r="D21" s="1">
        <f t="shared" si="0"/>
        <v>2.2000000000000002</v>
      </c>
      <c r="E21" s="1">
        <f t="shared" si="1"/>
        <v>6.6497190922573983</v>
      </c>
      <c r="F21" s="1">
        <f t="shared" si="2"/>
        <v>0</v>
      </c>
    </row>
    <row r="22" spans="2:7">
      <c r="B22" s="1">
        <v>19</v>
      </c>
      <c r="C22" s="1">
        <v>2</v>
      </c>
      <c r="D22" s="1">
        <f t="shared" si="0"/>
        <v>2.2000000000000002</v>
      </c>
      <c r="E22" s="1">
        <f t="shared" si="1"/>
        <v>6.6497190922573983</v>
      </c>
      <c r="F22" s="1">
        <f t="shared" si="2"/>
        <v>0</v>
      </c>
    </row>
    <row r="23" spans="2:7">
      <c r="B23" s="1">
        <v>20</v>
      </c>
      <c r="C23" s="1">
        <v>3</v>
      </c>
      <c r="D23" s="1">
        <f t="shared" si="0"/>
        <v>2.2000000000000002</v>
      </c>
      <c r="E23" s="1">
        <f t="shared" si="1"/>
        <v>6.6497190922573983</v>
      </c>
      <c r="F23" s="1">
        <f t="shared" si="2"/>
        <v>0</v>
      </c>
    </row>
    <row r="26" spans="2:7">
      <c r="C26" s="96"/>
      <c r="D26" s="85"/>
      <c r="E26" s="85"/>
      <c r="F26" s="85"/>
      <c r="G26" s="85"/>
    </row>
    <row r="27" spans="2:7">
      <c r="C27" s="96"/>
      <c r="D27" s="85"/>
      <c r="E27" s="85"/>
      <c r="F27" s="85"/>
      <c r="G27" s="85"/>
    </row>
    <row r="28" spans="2:7">
      <c r="C28" s="96"/>
      <c r="D28" s="85"/>
      <c r="E28" s="85"/>
      <c r="F28" s="85"/>
      <c r="G28" s="85"/>
    </row>
    <row r="29" spans="2:7">
      <c r="C29" s="96"/>
      <c r="D29" s="85"/>
      <c r="E29" s="85"/>
      <c r="F29" s="85"/>
      <c r="G29" s="85"/>
    </row>
    <row r="30" spans="2:7">
      <c r="C30" s="96"/>
      <c r="D30" s="85"/>
      <c r="E30" s="85"/>
      <c r="F30" s="85"/>
      <c r="G30" s="85"/>
    </row>
    <row r="31" spans="2:7">
      <c r="C31" s="96"/>
      <c r="D31" s="85"/>
      <c r="E31" s="85"/>
      <c r="F31" s="85"/>
      <c r="G31" s="85"/>
    </row>
    <row r="32" spans="2:7">
      <c r="C32" s="96"/>
      <c r="D32" s="85"/>
      <c r="E32" s="85"/>
      <c r="F32" s="85"/>
      <c r="G32" s="85"/>
    </row>
    <row r="33" spans="3:7">
      <c r="C33" s="96"/>
      <c r="D33" s="85"/>
      <c r="E33" s="85"/>
      <c r="F33" s="85"/>
      <c r="G33" s="85"/>
    </row>
    <row r="34" spans="3:7">
      <c r="C34" s="96"/>
      <c r="D34" s="85"/>
      <c r="E34" s="85"/>
      <c r="F34" s="85"/>
      <c r="G34" s="85"/>
    </row>
    <row r="35" spans="3:7">
      <c r="C35" s="96"/>
      <c r="D35" s="85"/>
      <c r="E35" s="85"/>
      <c r="F35" s="85"/>
      <c r="G35" s="85"/>
    </row>
  </sheetData>
  <pageMargins left="0.7" right="0.7" top="0.75" bottom="0.75" header="0.3" footer="0.3"/>
  <pageSetup paperSize="9" orientation="portrait" horizontalDpi="30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9CAE2-2913-402D-A2B1-7DF4D822C760}">
  <dimension ref="A2:U25"/>
  <sheetViews>
    <sheetView topLeftCell="D1" zoomScale="80" zoomScaleNormal="80" workbookViewId="0">
      <selection activeCell="I25" sqref="I25"/>
    </sheetView>
  </sheetViews>
  <sheetFormatPr defaultRowHeight="14.5"/>
  <cols>
    <col min="2" max="2" width="11.08984375" bestFit="1" customWidth="1"/>
    <col min="3" max="3" width="11" bestFit="1" customWidth="1"/>
    <col min="4" max="5" width="11.08984375" bestFit="1" customWidth="1"/>
    <col min="7" max="7" width="18.08984375" bestFit="1" customWidth="1"/>
    <col min="15" max="15" width="18.08984375" bestFit="1" customWidth="1"/>
    <col min="16" max="16" width="9.54296875" customWidth="1"/>
    <col min="17" max="17" width="11.7265625" customWidth="1"/>
    <col min="18" max="18" width="17.54296875" customWidth="1"/>
    <col min="19" max="19" width="10.6328125" customWidth="1"/>
  </cols>
  <sheetData>
    <row r="2" spans="1:21" ht="15">
      <c r="B2" s="100" t="s">
        <v>145</v>
      </c>
      <c r="C2" s="100" t="s">
        <v>146</v>
      </c>
      <c r="D2" s="100" t="s">
        <v>147</v>
      </c>
      <c r="E2" s="100" t="s">
        <v>148</v>
      </c>
      <c r="G2" t="s">
        <v>149</v>
      </c>
      <c r="O2" t="s">
        <v>149</v>
      </c>
    </row>
    <row r="3" spans="1:21" ht="15.5">
      <c r="A3">
        <v>1</v>
      </c>
      <c r="B3" s="101">
        <v>47.6</v>
      </c>
      <c r="C3" s="101">
        <v>52.8</v>
      </c>
      <c r="D3" s="101">
        <v>50.4</v>
      </c>
      <c r="E3" s="101">
        <v>52.4</v>
      </c>
      <c r="H3" s="108" t="s">
        <v>181</v>
      </c>
      <c r="I3">
        <f>SUM(B3:E10)</f>
        <v>1540.1000000000001</v>
      </c>
    </row>
    <row r="4" spans="1:21" ht="16" thickBot="1">
      <c r="A4">
        <v>2</v>
      </c>
      <c r="B4" s="101">
        <v>52.5</v>
      </c>
      <c r="C4" s="101">
        <v>51.4</v>
      </c>
      <c r="D4" s="101">
        <v>55.8</v>
      </c>
      <c r="E4" s="101">
        <v>51.6</v>
      </c>
      <c r="G4" t="s">
        <v>150</v>
      </c>
      <c r="H4" s="108" t="s">
        <v>180</v>
      </c>
      <c r="I4">
        <f>COUNT(B3:E10)</f>
        <v>30</v>
      </c>
      <c r="K4" s="108" t="s">
        <v>182</v>
      </c>
      <c r="L4">
        <f>COUNTA(B2:E2)</f>
        <v>4</v>
      </c>
      <c r="O4" t="s">
        <v>150</v>
      </c>
    </row>
    <row r="5" spans="1:21" ht="15.5">
      <c r="A5">
        <v>3</v>
      </c>
      <c r="B5" s="101">
        <v>45.9</v>
      </c>
      <c r="C5" s="101">
        <v>49.7</v>
      </c>
      <c r="D5" s="101">
        <v>49.8</v>
      </c>
      <c r="E5" s="101">
        <v>57.8</v>
      </c>
      <c r="G5" s="57" t="s">
        <v>151</v>
      </c>
      <c r="H5" s="57" t="s">
        <v>152</v>
      </c>
      <c r="I5" s="57" t="s">
        <v>153</v>
      </c>
      <c r="J5" s="57" t="s">
        <v>154</v>
      </c>
      <c r="K5" s="57" t="s">
        <v>155</v>
      </c>
      <c r="O5" s="57" t="s">
        <v>151</v>
      </c>
      <c r="P5" s="57" t="s">
        <v>152</v>
      </c>
      <c r="Q5" s="57" t="s">
        <v>153</v>
      </c>
      <c r="R5" s="57" t="s">
        <v>154</v>
      </c>
      <c r="S5" s="57" t="s">
        <v>155</v>
      </c>
    </row>
    <row r="6" spans="1:21" ht="15.5">
      <c r="A6">
        <v>4</v>
      </c>
      <c r="B6" s="101">
        <v>51.6</v>
      </c>
      <c r="C6" s="101">
        <v>54.2</v>
      </c>
      <c r="D6" s="101">
        <v>51.8</v>
      </c>
      <c r="E6" s="101">
        <v>53.2</v>
      </c>
      <c r="G6" t="s">
        <v>145</v>
      </c>
      <c r="H6" s="59">
        <v>8</v>
      </c>
      <c r="I6" s="59">
        <v>398</v>
      </c>
      <c r="J6" s="59">
        <v>49.75</v>
      </c>
      <c r="K6" s="59">
        <v>5.4314285714285742</v>
      </c>
      <c r="O6" t="s">
        <v>145</v>
      </c>
      <c r="P6">
        <v>8</v>
      </c>
      <c r="Q6">
        <v>398</v>
      </c>
      <c r="R6">
        <v>49.75</v>
      </c>
      <c r="S6">
        <v>5.4314285714285742</v>
      </c>
    </row>
    <row r="7" spans="1:21" ht="15.5">
      <c r="A7">
        <v>5</v>
      </c>
      <c r="B7" s="101">
        <v>51.7</v>
      </c>
      <c r="C7" s="101">
        <v>53.6</v>
      </c>
      <c r="D7" s="101">
        <v>51.8</v>
      </c>
      <c r="E7" s="101">
        <v>49.1</v>
      </c>
      <c r="G7" t="s">
        <v>146</v>
      </c>
      <c r="H7" s="59">
        <v>7</v>
      </c>
      <c r="I7" s="59">
        <v>368.5</v>
      </c>
      <c r="J7" s="59">
        <v>52.642857142857146</v>
      </c>
      <c r="K7" s="59">
        <v>2.5728571428571425</v>
      </c>
      <c r="O7" t="s">
        <v>146</v>
      </c>
      <c r="P7">
        <v>7</v>
      </c>
      <c r="Q7">
        <v>368.5</v>
      </c>
      <c r="R7">
        <v>52.642857142857146</v>
      </c>
      <c r="S7">
        <v>2.5728571428571425</v>
      </c>
    </row>
    <row r="8" spans="1:21" ht="15.5">
      <c r="A8">
        <v>6</v>
      </c>
      <c r="B8" s="101">
        <v>50.4</v>
      </c>
      <c r="C8" s="101">
        <v>52.8</v>
      </c>
      <c r="D8" s="101">
        <v>53.2</v>
      </c>
      <c r="E8" s="101">
        <v>51.6</v>
      </c>
      <c r="G8" t="s">
        <v>147</v>
      </c>
      <c r="H8" s="59">
        <v>7</v>
      </c>
      <c r="I8" s="59">
        <v>364</v>
      </c>
      <c r="J8" s="59">
        <v>52</v>
      </c>
      <c r="K8" s="59">
        <v>4.0000000000000009</v>
      </c>
      <c r="O8" t="s">
        <v>147</v>
      </c>
      <c r="P8">
        <v>7</v>
      </c>
      <c r="Q8">
        <v>364</v>
      </c>
      <c r="R8">
        <v>52</v>
      </c>
      <c r="S8">
        <v>4.0000000000000009</v>
      </c>
    </row>
    <row r="9" spans="1:21" ht="16" thickBot="1">
      <c r="A9">
        <v>7</v>
      </c>
      <c r="B9" s="101">
        <v>48</v>
      </c>
      <c r="C9" s="101">
        <v>54</v>
      </c>
      <c r="D9" s="101">
        <v>51.2</v>
      </c>
      <c r="E9" s="101">
        <v>44.2</v>
      </c>
      <c r="G9" s="56" t="s">
        <v>148</v>
      </c>
      <c r="H9" s="103">
        <v>8</v>
      </c>
      <c r="I9" s="103">
        <v>409.6</v>
      </c>
      <c r="J9" s="103">
        <v>51.2</v>
      </c>
      <c r="K9" s="103">
        <v>14.997142857142844</v>
      </c>
      <c r="O9" s="56" t="s">
        <v>148</v>
      </c>
      <c r="P9" s="56">
        <v>8</v>
      </c>
      <c r="Q9" s="56">
        <v>409.6</v>
      </c>
      <c r="R9" s="56">
        <v>51.2</v>
      </c>
      <c r="S9" s="56">
        <v>14.997142857142844</v>
      </c>
    </row>
    <row r="10" spans="1:21" ht="15.5">
      <c r="A10">
        <v>8</v>
      </c>
      <c r="B10" s="101">
        <v>50.3</v>
      </c>
      <c r="C10" s="102"/>
      <c r="D10" s="102"/>
      <c r="E10" s="101">
        <v>49.7</v>
      </c>
    </row>
    <row r="11" spans="1:21">
      <c r="A11" t="s">
        <v>152</v>
      </c>
      <c r="B11">
        <f>COUNT($B$3:$B$10)</f>
        <v>8</v>
      </c>
      <c r="C11">
        <f>COUNT($C$3:$C$9)</f>
        <v>7</v>
      </c>
      <c r="D11">
        <f>COUNT($D$3:$D$9)</f>
        <v>7</v>
      </c>
      <c r="E11">
        <f>COUNT($E$3:$E$10)</f>
        <v>8</v>
      </c>
    </row>
    <row r="12" spans="1:21" ht="15" thickBot="1">
      <c r="A12" t="s">
        <v>153</v>
      </c>
      <c r="B12">
        <f>SUM($B$3:$B$10)</f>
        <v>398</v>
      </c>
      <c r="C12">
        <f>SUM($C$3:$C$9)</f>
        <v>368.5</v>
      </c>
      <c r="D12">
        <f>SUM($D$3:$D$9)</f>
        <v>364</v>
      </c>
      <c r="E12">
        <f>SUM($E$3:$E$10)</f>
        <v>409.6</v>
      </c>
      <c r="G12" t="s">
        <v>65</v>
      </c>
      <c r="O12" t="s">
        <v>65</v>
      </c>
    </row>
    <row r="13" spans="1:21">
      <c r="A13" t="s">
        <v>154</v>
      </c>
      <c r="B13">
        <f>AVERAGE($B$3:$B$10)</f>
        <v>49.75</v>
      </c>
      <c r="C13">
        <f>AVERAGE($C$3:$C$9)</f>
        <v>52.642857142857146</v>
      </c>
      <c r="D13">
        <f>AVERAGE($D$3:$D$9)</f>
        <v>52</v>
      </c>
      <c r="E13">
        <f>AVERAGE($E$3:$E$10)</f>
        <v>51.2</v>
      </c>
      <c r="G13" s="57" t="s">
        <v>156</v>
      </c>
      <c r="H13" s="57" t="s">
        <v>70</v>
      </c>
      <c r="I13" s="57" t="s">
        <v>69</v>
      </c>
      <c r="J13" s="57" t="s">
        <v>71</v>
      </c>
      <c r="K13" s="57" t="s">
        <v>19</v>
      </c>
      <c r="L13" s="57" t="s">
        <v>75</v>
      </c>
      <c r="M13" s="57" t="s">
        <v>157</v>
      </c>
      <c r="O13" s="57" t="s">
        <v>156</v>
      </c>
      <c r="P13" s="57" t="s">
        <v>70</v>
      </c>
      <c r="Q13" s="57" t="s">
        <v>69</v>
      </c>
      <c r="R13" s="57" t="s">
        <v>71</v>
      </c>
      <c r="S13" s="57" t="s">
        <v>19</v>
      </c>
      <c r="T13" s="57" t="s">
        <v>75</v>
      </c>
      <c r="U13" s="57" t="s">
        <v>157</v>
      </c>
    </row>
    <row r="14" spans="1:21" ht="15.5">
      <c r="A14" t="s">
        <v>155</v>
      </c>
      <c r="B14">
        <f>_xlfn.VAR.S($B$3:$B$10)</f>
        <v>5.4314285714285742</v>
      </c>
      <c r="C14">
        <f>_xlfn.VAR.S($C$3:$C$9)</f>
        <v>2.5728571428571425</v>
      </c>
      <c r="D14">
        <f>_xlfn.VAR.S($D$3:$D$9)</f>
        <v>4.0000000000000009</v>
      </c>
      <c r="E14">
        <f>_xlfn.VAR.S($E$3:$E$10)</f>
        <v>14.997142857142844</v>
      </c>
      <c r="G14" t="s">
        <v>158</v>
      </c>
      <c r="H14" s="109">
        <f>I6^2/H6+I7^2/H7+I8^2/H8+I9^2/H9-I3^2/I4</f>
        <v>35.312523809523555</v>
      </c>
      <c r="I14" s="59">
        <f>L4-1</f>
        <v>3</v>
      </c>
      <c r="J14" s="109">
        <f>H14/I14</f>
        <v>11.770841269841185</v>
      </c>
      <c r="K14" s="112">
        <f>J14/J15</f>
        <v>1.6775195457623147</v>
      </c>
      <c r="L14" s="59">
        <f>_xlfn.F.DIST.RT(K14,I14,I15)</f>
        <v>0.1962687201097546</v>
      </c>
      <c r="M14" s="113">
        <v>2.9752000000000001</v>
      </c>
      <c r="O14" t="s">
        <v>158</v>
      </c>
      <c r="P14">
        <v>35.312523809523782</v>
      </c>
      <c r="Q14">
        <v>3</v>
      </c>
      <c r="R14">
        <v>11.770841269841261</v>
      </c>
      <c r="S14">
        <v>1.6775195457622276</v>
      </c>
      <c r="T14">
        <v>0.196268720109773</v>
      </c>
      <c r="U14">
        <v>2.9751539639733933</v>
      </c>
    </row>
    <row r="15" spans="1:21">
      <c r="G15" t="s">
        <v>159</v>
      </c>
      <c r="H15" s="110">
        <f>H17-H14</f>
        <v>182.43714285713213</v>
      </c>
      <c r="I15" s="59">
        <f>I4-L4</f>
        <v>26</v>
      </c>
      <c r="J15" s="112">
        <f>H15/I15</f>
        <v>7.0168131868127741</v>
      </c>
      <c r="O15" t="s">
        <v>159</v>
      </c>
      <c r="P15">
        <v>182.43714285714279</v>
      </c>
      <c r="Q15">
        <v>26</v>
      </c>
      <c r="R15">
        <v>7.0168131868131844</v>
      </c>
    </row>
    <row r="17" spans="1:21" ht="15.5" thickBot="1">
      <c r="B17" s="100" t="s">
        <v>145</v>
      </c>
      <c r="C17" s="100" t="s">
        <v>146</v>
      </c>
      <c r="D17" s="100" t="s">
        <v>147</v>
      </c>
      <c r="E17" s="100" t="s">
        <v>148</v>
      </c>
      <c r="G17" s="56" t="s">
        <v>68</v>
      </c>
      <c r="H17" s="111">
        <f>SUM(B18:E25)-I3^2/I4</f>
        <v>217.74966666665568</v>
      </c>
      <c r="I17" s="103">
        <f>SUM(I14:I15)</f>
        <v>29</v>
      </c>
      <c r="J17" s="56"/>
      <c r="K17" s="56"/>
      <c r="L17" s="56"/>
      <c r="M17" s="56"/>
      <c r="O17" s="56" t="s">
        <v>68</v>
      </c>
      <c r="P17" s="56">
        <v>217.74966666666657</v>
      </c>
      <c r="Q17" s="56">
        <v>29</v>
      </c>
      <c r="R17" s="56"/>
      <c r="S17" s="56"/>
      <c r="T17" s="56"/>
      <c r="U17" s="56"/>
    </row>
    <row r="18" spans="1:21" ht="15.5">
      <c r="A18">
        <v>1</v>
      </c>
      <c r="B18" s="101">
        <f>B3^2</f>
        <v>2265.7600000000002</v>
      </c>
      <c r="C18" s="101">
        <f t="shared" ref="C18:E18" si="0">C3^2</f>
        <v>2787.8399999999997</v>
      </c>
      <c r="D18" s="101">
        <f t="shared" si="0"/>
        <v>2540.16</v>
      </c>
      <c r="E18" s="101">
        <f t="shared" si="0"/>
        <v>2745.7599999999998</v>
      </c>
    </row>
    <row r="19" spans="1:21" ht="15.5">
      <c r="A19">
        <v>2</v>
      </c>
      <c r="B19" s="101">
        <f t="shared" ref="B19:E19" si="1">B4^2</f>
        <v>2756.25</v>
      </c>
      <c r="C19" s="101">
        <f t="shared" si="1"/>
        <v>2641.96</v>
      </c>
      <c r="D19" s="101">
        <f t="shared" si="1"/>
        <v>3113.64</v>
      </c>
      <c r="E19" s="101">
        <f t="shared" si="1"/>
        <v>2662.56</v>
      </c>
      <c r="O19" s="104" t="s">
        <v>160</v>
      </c>
      <c r="P19" s="104" t="s">
        <v>162</v>
      </c>
      <c r="Q19" s="104" t="s">
        <v>164</v>
      </c>
      <c r="R19" s="104" t="s">
        <v>166</v>
      </c>
      <c r="S19" s="236" t="s">
        <v>168</v>
      </c>
    </row>
    <row r="20" spans="1:21" ht="15.5">
      <c r="A20">
        <v>3</v>
      </c>
      <c r="B20" s="101">
        <f t="shared" ref="B20:E20" si="2">B5^2</f>
        <v>2106.81</v>
      </c>
      <c r="C20" s="101">
        <f t="shared" si="2"/>
        <v>2470.09</v>
      </c>
      <c r="D20" s="101">
        <f t="shared" si="2"/>
        <v>2480.0399999999995</v>
      </c>
      <c r="E20" s="101">
        <f t="shared" si="2"/>
        <v>3340.8399999999997</v>
      </c>
      <c r="O20" s="105" t="s">
        <v>161</v>
      </c>
      <c r="P20" s="105" t="s">
        <v>163</v>
      </c>
      <c r="Q20" s="105" t="s">
        <v>165</v>
      </c>
      <c r="R20" s="105" t="s">
        <v>167</v>
      </c>
      <c r="S20" s="237"/>
    </row>
    <row r="21" spans="1:21" ht="15.5">
      <c r="A21">
        <v>4</v>
      </c>
      <c r="B21" s="101">
        <f t="shared" ref="B21:E21" si="3">B6^2</f>
        <v>2662.56</v>
      </c>
      <c r="C21" s="101">
        <f t="shared" si="3"/>
        <v>2937.6400000000003</v>
      </c>
      <c r="D21" s="101">
        <f t="shared" si="3"/>
        <v>2683.24</v>
      </c>
      <c r="E21" s="101">
        <f t="shared" si="3"/>
        <v>2830.2400000000002</v>
      </c>
      <c r="O21" s="106" t="s">
        <v>169</v>
      </c>
      <c r="P21" s="238" t="s">
        <v>171</v>
      </c>
      <c r="Q21" s="238" t="s">
        <v>172</v>
      </c>
      <c r="R21" s="238" t="s">
        <v>173</v>
      </c>
      <c r="S21" s="238" t="s">
        <v>174</v>
      </c>
    </row>
    <row r="22" spans="1:21" ht="15.5">
      <c r="A22">
        <v>5</v>
      </c>
      <c r="B22" s="101">
        <f t="shared" ref="B22:E22" si="4">B7^2</f>
        <v>2672.8900000000003</v>
      </c>
      <c r="C22" s="101">
        <f t="shared" si="4"/>
        <v>2872.96</v>
      </c>
      <c r="D22" s="101">
        <f t="shared" si="4"/>
        <v>2683.24</v>
      </c>
      <c r="E22" s="101">
        <f t="shared" si="4"/>
        <v>2410.81</v>
      </c>
      <c r="O22" s="107" t="s">
        <v>170</v>
      </c>
      <c r="P22" s="239"/>
      <c r="Q22" s="239"/>
      <c r="R22" s="239"/>
      <c r="S22" s="239"/>
    </row>
    <row r="23" spans="1:21" ht="15.5">
      <c r="A23">
        <v>6</v>
      </c>
      <c r="B23" s="101">
        <f t="shared" ref="B23:E23" si="5">B8^2</f>
        <v>2540.16</v>
      </c>
      <c r="C23" s="101">
        <f t="shared" si="5"/>
        <v>2787.8399999999997</v>
      </c>
      <c r="D23" s="101">
        <f t="shared" si="5"/>
        <v>2830.2400000000002</v>
      </c>
      <c r="E23" s="101">
        <f t="shared" si="5"/>
        <v>2662.56</v>
      </c>
      <c r="O23" s="101" t="s">
        <v>54</v>
      </c>
      <c r="P23" s="101" t="s">
        <v>175</v>
      </c>
      <c r="Q23" s="101" t="s">
        <v>176</v>
      </c>
      <c r="R23" s="101" t="s">
        <v>177</v>
      </c>
      <c r="S23" s="101"/>
    </row>
    <row r="24" spans="1:21" ht="15.5">
      <c r="A24">
        <v>7</v>
      </c>
      <c r="B24" s="101">
        <f t="shared" ref="B24:E24" si="6">B9^2</f>
        <v>2304</v>
      </c>
      <c r="C24" s="101">
        <f t="shared" si="6"/>
        <v>2916</v>
      </c>
      <c r="D24" s="101">
        <f t="shared" si="6"/>
        <v>2621.4400000000005</v>
      </c>
      <c r="E24" s="101">
        <f t="shared" si="6"/>
        <v>1953.6400000000003</v>
      </c>
      <c r="O24" s="101" t="s">
        <v>68</v>
      </c>
      <c r="P24" s="101" t="s">
        <v>178</v>
      </c>
      <c r="Q24" s="101" t="s">
        <v>179</v>
      </c>
      <c r="R24" s="101"/>
      <c r="S24" s="101"/>
    </row>
    <row r="25" spans="1:21" ht="15.5">
      <c r="A25">
        <v>8</v>
      </c>
      <c r="B25" s="101">
        <f t="shared" ref="B25:E25" si="7">B10^2</f>
        <v>2530.0899999999997</v>
      </c>
      <c r="C25" s="101"/>
      <c r="D25" s="101"/>
      <c r="E25" s="101">
        <f t="shared" si="7"/>
        <v>2470.09</v>
      </c>
    </row>
  </sheetData>
  <mergeCells count="5">
    <mergeCell ref="S19:S20"/>
    <mergeCell ref="P21:P22"/>
    <mergeCell ref="Q21:Q22"/>
    <mergeCell ref="R21:R22"/>
    <mergeCell ref="S21:S22"/>
  </mergeCells>
  <pageMargins left="0.7" right="0.7" top="0.75" bottom="0.75" header="0.3" footer="0.3"/>
  <pageSetup paperSize="9" orientation="portrait" horizontalDpi="300" verticalDpi="0" r:id="rId1"/>
  <ignoredErrors>
    <ignoredError sqref="C11:C14" formula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1971-B87E-4C18-963B-A6A3640C3C0A}">
  <dimension ref="A1:T51"/>
  <sheetViews>
    <sheetView workbookViewId="0">
      <selection activeCell="K16" sqref="K16"/>
    </sheetView>
  </sheetViews>
  <sheetFormatPr defaultRowHeight="12.5"/>
  <cols>
    <col min="1" max="2" width="10.54296875" style="6" customWidth="1"/>
    <col min="3" max="3" width="11" style="6" customWidth="1"/>
    <col min="4" max="4" width="11.54296875" style="6" customWidth="1"/>
    <col min="5" max="5" width="8.7265625" style="6"/>
    <col min="6" max="6" width="18.453125" style="6" bestFit="1" customWidth="1"/>
    <col min="7" max="9" width="8.7265625" style="6"/>
    <col min="10" max="10" width="9.81640625" style="6" customWidth="1"/>
    <col min="11" max="13" width="8.7265625" style="6"/>
    <col min="14" max="14" width="17.7265625" style="6" bestFit="1" customWidth="1"/>
    <col min="15" max="256" width="8.7265625" style="6"/>
    <col min="257" max="258" width="10.54296875" style="6" customWidth="1"/>
    <col min="259" max="259" width="11" style="6" customWidth="1"/>
    <col min="260" max="260" width="11.54296875" style="6" customWidth="1"/>
    <col min="261" max="261" width="8.7265625" style="6"/>
    <col min="262" max="262" width="18.453125" style="6" bestFit="1" customWidth="1"/>
    <col min="263" max="512" width="8.7265625" style="6"/>
    <col min="513" max="514" width="10.54296875" style="6" customWidth="1"/>
    <col min="515" max="515" width="11" style="6" customWidth="1"/>
    <col min="516" max="516" width="11.54296875" style="6" customWidth="1"/>
    <col min="517" max="517" width="8.7265625" style="6"/>
    <col min="518" max="518" width="18.453125" style="6" bestFit="1" customWidth="1"/>
    <col min="519" max="768" width="8.7265625" style="6"/>
    <col min="769" max="770" width="10.54296875" style="6" customWidth="1"/>
    <col min="771" max="771" width="11" style="6" customWidth="1"/>
    <col min="772" max="772" width="11.54296875" style="6" customWidth="1"/>
    <col min="773" max="773" width="8.7265625" style="6"/>
    <col min="774" max="774" width="18.453125" style="6" bestFit="1" customWidth="1"/>
    <col min="775" max="1024" width="8.7265625" style="6"/>
    <col min="1025" max="1026" width="10.54296875" style="6" customWidth="1"/>
    <col min="1027" max="1027" width="11" style="6" customWidth="1"/>
    <col min="1028" max="1028" width="11.54296875" style="6" customWidth="1"/>
    <col min="1029" max="1029" width="8.7265625" style="6"/>
    <col min="1030" max="1030" width="18.453125" style="6" bestFit="1" customWidth="1"/>
    <col min="1031" max="1280" width="8.7265625" style="6"/>
    <col min="1281" max="1282" width="10.54296875" style="6" customWidth="1"/>
    <col min="1283" max="1283" width="11" style="6" customWidth="1"/>
    <col min="1284" max="1284" width="11.54296875" style="6" customWidth="1"/>
    <col min="1285" max="1285" width="8.7265625" style="6"/>
    <col min="1286" max="1286" width="18.453125" style="6" bestFit="1" customWidth="1"/>
    <col min="1287" max="1536" width="8.7265625" style="6"/>
    <col min="1537" max="1538" width="10.54296875" style="6" customWidth="1"/>
    <col min="1539" max="1539" width="11" style="6" customWidth="1"/>
    <col min="1540" max="1540" width="11.54296875" style="6" customWidth="1"/>
    <col min="1541" max="1541" width="8.7265625" style="6"/>
    <col min="1542" max="1542" width="18.453125" style="6" bestFit="1" customWidth="1"/>
    <col min="1543" max="1792" width="8.7265625" style="6"/>
    <col min="1793" max="1794" width="10.54296875" style="6" customWidth="1"/>
    <col min="1795" max="1795" width="11" style="6" customWidth="1"/>
    <col min="1796" max="1796" width="11.54296875" style="6" customWidth="1"/>
    <col min="1797" max="1797" width="8.7265625" style="6"/>
    <col min="1798" max="1798" width="18.453125" style="6" bestFit="1" customWidth="1"/>
    <col min="1799" max="2048" width="8.7265625" style="6"/>
    <col min="2049" max="2050" width="10.54296875" style="6" customWidth="1"/>
    <col min="2051" max="2051" width="11" style="6" customWidth="1"/>
    <col min="2052" max="2052" width="11.54296875" style="6" customWidth="1"/>
    <col min="2053" max="2053" width="8.7265625" style="6"/>
    <col min="2054" max="2054" width="18.453125" style="6" bestFit="1" customWidth="1"/>
    <col min="2055" max="2304" width="8.7265625" style="6"/>
    <col min="2305" max="2306" width="10.54296875" style="6" customWidth="1"/>
    <col min="2307" max="2307" width="11" style="6" customWidth="1"/>
    <col min="2308" max="2308" width="11.54296875" style="6" customWidth="1"/>
    <col min="2309" max="2309" width="8.7265625" style="6"/>
    <col min="2310" max="2310" width="18.453125" style="6" bestFit="1" customWidth="1"/>
    <col min="2311" max="2560" width="8.7265625" style="6"/>
    <col min="2561" max="2562" width="10.54296875" style="6" customWidth="1"/>
    <col min="2563" max="2563" width="11" style="6" customWidth="1"/>
    <col min="2564" max="2564" width="11.54296875" style="6" customWidth="1"/>
    <col min="2565" max="2565" width="8.7265625" style="6"/>
    <col min="2566" max="2566" width="18.453125" style="6" bestFit="1" customWidth="1"/>
    <col min="2567" max="2816" width="8.7265625" style="6"/>
    <col min="2817" max="2818" width="10.54296875" style="6" customWidth="1"/>
    <col min="2819" max="2819" width="11" style="6" customWidth="1"/>
    <col min="2820" max="2820" width="11.54296875" style="6" customWidth="1"/>
    <col min="2821" max="2821" width="8.7265625" style="6"/>
    <col min="2822" max="2822" width="18.453125" style="6" bestFit="1" customWidth="1"/>
    <col min="2823" max="3072" width="8.7265625" style="6"/>
    <col min="3073" max="3074" width="10.54296875" style="6" customWidth="1"/>
    <col min="3075" max="3075" width="11" style="6" customWidth="1"/>
    <col min="3076" max="3076" width="11.54296875" style="6" customWidth="1"/>
    <col min="3077" max="3077" width="8.7265625" style="6"/>
    <col min="3078" max="3078" width="18.453125" style="6" bestFit="1" customWidth="1"/>
    <col min="3079" max="3328" width="8.7265625" style="6"/>
    <col min="3329" max="3330" width="10.54296875" style="6" customWidth="1"/>
    <col min="3331" max="3331" width="11" style="6" customWidth="1"/>
    <col min="3332" max="3332" width="11.54296875" style="6" customWidth="1"/>
    <col min="3333" max="3333" width="8.7265625" style="6"/>
    <col min="3334" max="3334" width="18.453125" style="6" bestFit="1" customWidth="1"/>
    <col min="3335" max="3584" width="8.7265625" style="6"/>
    <col min="3585" max="3586" width="10.54296875" style="6" customWidth="1"/>
    <col min="3587" max="3587" width="11" style="6" customWidth="1"/>
    <col min="3588" max="3588" width="11.54296875" style="6" customWidth="1"/>
    <col min="3589" max="3589" width="8.7265625" style="6"/>
    <col min="3590" max="3590" width="18.453125" style="6" bestFit="1" customWidth="1"/>
    <col min="3591" max="3840" width="8.7265625" style="6"/>
    <col min="3841" max="3842" width="10.54296875" style="6" customWidth="1"/>
    <col min="3843" max="3843" width="11" style="6" customWidth="1"/>
    <col min="3844" max="3844" width="11.54296875" style="6" customWidth="1"/>
    <col min="3845" max="3845" width="8.7265625" style="6"/>
    <col min="3846" max="3846" width="18.453125" style="6" bestFit="1" customWidth="1"/>
    <col min="3847" max="4096" width="8.7265625" style="6"/>
    <col min="4097" max="4098" width="10.54296875" style="6" customWidth="1"/>
    <col min="4099" max="4099" width="11" style="6" customWidth="1"/>
    <col min="4100" max="4100" width="11.54296875" style="6" customWidth="1"/>
    <col min="4101" max="4101" width="8.7265625" style="6"/>
    <col min="4102" max="4102" width="18.453125" style="6" bestFit="1" customWidth="1"/>
    <col min="4103" max="4352" width="8.7265625" style="6"/>
    <col min="4353" max="4354" width="10.54296875" style="6" customWidth="1"/>
    <col min="4355" max="4355" width="11" style="6" customWidth="1"/>
    <col min="4356" max="4356" width="11.54296875" style="6" customWidth="1"/>
    <col min="4357" max="4357" width="8.7265625" style="6"/>
    <col min="4358" max="4358" width="18.453125" style="6" bestFit="1" customWidth="1"/>
    <col min="4359" max="4608" width="8.7265625" style="6"/>
    <col min="4609" max="4610" width="10.54296875" style="6" customWidth="1"/>
    <col min="4611" max="4611" width="11" style="6" customWidth="1"/>
    <col min="4612" max="4612" width="11.54296875" style="6" customWidth="1"/>
    <col min="4613" max="4613" width="8.7265625" style="6"/>
    <col min="4614" max="4614" width="18.453125" style="6" bestFit="1" customWidth="1"/>
    <col min="4615" max="4864" width="8.7265625" style="6"/>
    <col min="4865" max="4866" width="10.54296875" style="6" customWidth="1"/>
    <col min="4867" max="4867" width="11" style="6" customWidth="1"/>
    <col min="4868" max="4868" width="11.54296875" style="6" customWidth="1"/>
    <col min="4869" max="4869" width="8.7265625" style="6"/>
    <col min="4870" max="4870" width="18.453125" style="6" bestFit="1" customWidth="1"/>
    <col min="4871" max="5120" width="8.7265625" style="6"/>
    <col min="5121" max="5122" width="10.54296875" style="6" customWidth="1"/>
    <col min="5123" max="5123" width="11" style="6" customWidth="1"/>
    <col min="5124" max="5124" width="11.54296875" style="6" customWidth="1"/>
    <col min="5125" max="5125" width="8.7265625" style="6"/>
    <col min="5126" max="5126" width="18.453125" style="6" bestFit="1" customWidth="1"/>
    <col min="5127" max="5376" width="8.7265625" style="6"/>
    <col min="5377" max="5378" width="10.54296875" style="6" customWidth="1"/>
    <col min="5379" max="5379" width="11" style="6" customWidth="1"/>
    <col min="5380" max="5380" width="11.54296875" style="6" customWidth="1"/>
    <col min="5381" max="5381" width="8.7265625" style="6"/>
    <col min="5382" max="5382" width="18.453125" style="6" bestFit="1" customWidth="1"/>
    <col min="5383" max="5632" width="8.7265625" style="6"/>
    <col min="5633" max="5634" width="10.54296875" style="6" customWidth="1"/>
    <col min="5635" max="5635" width="11" style="6" customWidth="1"/>
    <col min="5636" max="5636" width="11.54296875" style="6" customWidth="1"/>
    <col min="5637" max="5637" width="8.7265625" style="6"/>
    <col min="5638" max="5638" width="18.453125" style="6" bestFit="1" customWidth="1"/>
    <col min="5639" max="5888" width="8.7265625" style="6"/>
    <col min="5889" max="5890" width="10.54296875" style="6" customWidth="1"/>
    <col min="5891" max="5891" width="11" style="6" customWidth="1"/>
    <col min="5892" max="5892" width="11.54296875" style="6" customWidth="1"/>
    <col min="5893" max="5893" width="8.7265625" style="6"/>
    <col min="5894" max="5894" width="18.453125" style="6" bestFit="1" customWidth="1"/>
    <col min="5895" max="6144" width="8.7265625" style="6"/>
    <col min="6145" max="6146" width="10.54296875" style="6" customWidth="1"/>
    <col min="6147" max="6147" width="11" style="6" customWidth="1"/>
    <col min="6148" max="6148" width="11.54296875" style="6" customWidth="1"/>
    <col min="6149" max="6149" width="8.7265625" style="6"/>
    <col min="6150" max="6150" width="18.453125" style="6" bestFit="1" customWidth="1"/>
    <col min="6151" max="6400" width="8.7265625" style="6"/>
    <col min="6401" max="6402" width="10.54296875" style="6" customWidth="1"/>
    <col min="6403" max="6403" width="11" style="6" customWidth="1"/>
    <col min="6404" max="6404" width="11.54296875" style="6" customWidth="1"/>
    <col min="6405" max="6405" width="8.7265625" style="6"/>
    <col min="6406" max="6406" width="18.453125" style="6" bestFit="1" customWidth="1"/>
    <col min="6407" max="6656" width="8.7265625" style="6"/>
    <col min="6657" max="6658" width="10.54296875" style="6" customWidth="1"/>
    <col min="6659" max="6659" width="11" style="6" customWidth="1"/>
    <col min="6660" max="6660" width="11.54296875" style="6" customWidth="1"/>
    <col min="6661" max="6661" width="8.7265625" style="6"/>
    <col min="6662" max="6662" width="18.453125" style="6" bestFit="1" customWidth="1"/>
    <col min="6663" max="6912" width="8.7265625" style="6"/>
    <col min="6913" max="6914" width="10.54296875" style="6" customWidth="1"/>
    <col min="6915" max="6915" width="11" style="6" customWidth="1"/>
    <col min="6916" max="6916" width="11.54296875" style="6" customWidth="1"/>
    <col min="6917" max="6917" width="8.7265625" style="6"/>
    <col min="6918" max="6918" width="18.453125" style="6" bestFit="1" customWidth="1"/>
    <col min="6919" max="7168" width="8.7265625" style="6"/>
    <col min="7169" max="7170" width="10.54296875" style="6" customWidth="1"/>
    <col min="7171" max="7171" width="11" style="6" customWidth="1"/>
    <col min="7172" max="7172" width="11.54296875" style="6" customWidth="1"/>
    <col min="7173" max="7173" width="8.7265625" style="6"/>
    <col min="7174" max="7174" width="18.453125" style="6" bestFit="1" customWidth="1"/>
    <col min="7175" max="7424" width="8.7265625" style="6"/>
    <col min="7425" max="7426" width="10.54296875" style="6" customWidth="1"/>
    <col min="7427" max="7427" width="11" style="6" customWidth="1"/>
    <col min="7428" max="7428" width="11.54296875" style="6" customWidth="1"/>
    <col min="7429" max="7429" width="8.7265625" style="6"/>
    <col min="7430" max="7430" width="18.453125" style="6" bestFit="1" customWidth="1"/>
    <col min="7431" max="7680" width="8.7265625" style="6"/>
    <col min="7681" max="7682" width="10.54296875" style="6" customWidth="1"/>
    <col min="7683" max="7683" width="11" style="6" customWidth="1"/>
    <col min="7684" max="7684" width="11.54296875" style="6" customWidth="1"/>
    <col min="7685" max="7685" width="8.7265625" style="6"/>
    <col min="7686" max="7686" width="18.453125" style="6" bestFit="1" customWidth="1"/>
    <col min="7687" max="7936" width="8.7265625" style="6"/>
    <col min="7937" max="7938" width="10.54296875" style="6" customWidth="1"/>
    <col min="7939" max="7939" width="11" style="6" customWidth="1"/>
    <col min="7940" max="7940" width="11.54296875" style="6" customWidth="1"/>
    <col min="7941" max="7941" width="8.7265625" style="6"/>
    <col min="7942" max="7942" width="18.453125" style="6" bestFit="1" customWidth="1"/>
    <col min="7943" max="8192" width="8.7265625" style="6"/>
    <col min="8193" max="8194" width="10.54296875" style="6" customWidth="1"/>
    <col min="8195" max="8195" width="11" style="6" customWidth="1"/>
    <col min="8196" max="8196" width="11.54296875" style="6" customWidth="1"/>
    <col min="8197" max="8197" width="8.7265625" style="6"/>
    <col min="8198" max="8198" width="18.453125" style="6" bestFit="1" customWidth="1"/>
    <col min="8199" max="8448" width="8.7265625" style="6"/>
    <col min="8449" max="8450" width="10.54296875" style="6" customWidth="1"/>
    <col min="8451" max="8451" width="11" style="6" customWidth="1"/>
    <col min="8452" max="8452" width="11.54296875" style="6" customWidth="1"/>
    <col min="8453" max="8453" width="8.7265625" style="6"/>
    <col min="8454" max="8454" width="18.453125" style="6" bestFit="1" customWidth="1"/>
    <col min="8455" max="8704" width="8.7265625" style="6"/>
    <col min="8705" max="8706" width="10.54296875" style="6" customWidth="1"/>
    <col min="8707" max="8707" width="11" style="6" customWidth="1"/>
    <col min="8708" max="8708" width="11.54296875" style="6" customWidth="1"/>
    <col min="8709" max="8709" width="8.7265625" style="6"/>
    <col min="8710" max="8710" width="18.453125" style="6" bestFit="1" customWidth="1"/>
    <col min="8711" max="8960" width="8.7265625" style="6"/>
    <col min="8961" max="8962" width="10.54296875" style="6" customWidth="1"/>
    <col min="8963" max="8963" width="11" style="6" customWidth="1"/>
    <col min="8964" max="8964" width="11.54296875" style="6" customWidth="1"/>
    <col min="8965" max="8965" width="8.7265625" style="6"/>
    <col min="8966" max="8966" width="18.453125" style="6" bestFit="1" customWidth="1"/>
    <col min="8967" max="9216" width="8.7265625" style="6"/>
    <col min="9217" max="9218" width="10.54296875" style="6" customWidth="1"/>
    <col min="9219" max="9219" width="11" style="6" customWidth="1"/>
    <col min="9220" max="9220" width="11.54296875" style="6" customWidth="1"/>
    <col min="9221" max="9221" width="8.7265625" style="6"/>
    <col min="9222" max="9222" width="18.453125" style="6" bestFit="1" customWidth="1"/>
    <col min="9223" max="9472" width="8.7265625" style="6"/>
    <col min="9473" max="9474" width="10.54296875" style="6" customWidth="1"/>
    <col min="9475" max="9475" width="11" style="6" customWidth="1"/>
    <col min="9476" max="9476" width="11.54296875" style="6" customWidth="1"/>
    <col min="9477" max="9477" width="8.7265625" style="6"/>
    <col min="9478" max="9478" width="18.453125" style="6" bestFit="1" customWidth="1"/>
    <col min="9479" max="9728" width="8.7265625" style="6"/>
    <col min="9729" max="9730" width="10.54296875" style="6" customWidth="1"/>
    <col min="9731" max="9731" width="11" style="6" customWidth="1"/>
    <col min="9732" max="9732" width="11.54296875" style="6" customWidth="1"/>
    <col min="9733" max="9733" width="8.7265625" style="6"/>
    <col min="9734" max="9734" width="18.453125" style="6" bestFit="1" customWidth="1"/>
    <col min="9735" max="9984" width="8.7265625" style="6"/>
    <col min="9985" max="9986" width="10.54296875" style="6" customWidth="1"/>
    <col min="9987" max="9987" width="11" style="6" customWidth="1"/>
    <col min="9988" max="9988" width="11.54296875" style="6" customWidth="1"/>
    <col min="9989" max="9989" width="8.7265625" style="6"/>
    <col min="9990" max="9990" width="18.453125" style="6" bestFit="1" customWidth="1"/>
    <col min="9991" max="10240" width="8.7265625" style="6"/>
    <col min="10241" max="10242" width="10.54296875" style="6" customWidth="1"/>
    <col min="10243" max="10243" width="11" style="6" customWidth="1"/>
    <col min="10244" max="10244" width="11.54296875" style="6" customWidth="1"/>
    <col min="10245" max="10245" width="8.7265625" style="6"/>
    <col min="10246" max="10246" width="18.453125" style="6" bestFit="1" customWidth="1"/>
    <col min="10247" max="10496" width="8.7265625" style="6"/>
    <col min="10497" max="10498" width="10.54296875" style="6" customWidth="1"/>
    <col min="10499" max="10499" width="11" style="6" customWidth="1"/>
    <col min="10500" max="10500" width="11.54296875" style="6" customWidth="1"/>
    <col min="10501" max="10501" width="8.7265625" style="6"/>
    <col min="10502" max="10502" width="18.453125" style="6" bestFit="1" customWidth="1"/>
    <col min="10503" max="10752" width="8.7265625" style="6"/>
    <col min="10753" max="10754" width="10.54296875" style="6" customWidth="1"/>
    <col min="10755" max="10755" width="11" style="6" customWidth="1"/>
    <col min="10756" max="10756" width="11.54296875" style="6" customWidth="1"/>
    <col min="10757" max="10757" width="8.7265625" style="6"/>
    <col min="10758" max="10758" width="18.453125" style="6" bestFit="1" customWidth="1"/>
    <col min="10759" max="11008" width="8.7265625" style="6"/>
    <col min="11009" max="11010" width="10.54296875" style="6" customWidth="1"/>
    <col min="11011" max="11011" width="11" style="6" customWidth="1"/>
    <col min="11012" max="11012" width="11.54296875" style="6" customWidth="1"/>
    <col min="11013" max="11013" width="8.7265625" style="6"/>
    <col min="11014" max="11014" width="18.453125" style="6" bestFit="1" customWidth="1"/>
    <col min="11015" max="11264" width="8.7265625" style="6"/>
    <col min="11265" max="11266" width="10.54296875" style="6" customWidth="1"/>
    <col min="11267" max="11267" width="11" style="6" customWidth="1"/>
    <col min="11268" max="11268" width="11.54296875" style="6" customWidth="1"/>
    <col min="11269" max="11269" width="8.7265625" style="6"/>
    <col min="11270" max="11270" width="18.453125" style="6" bestFit="1" customWidth="1"/>
    <col min="11271" max="11520" width="8.7265625" style="6"/>
    <col min="11521" max="11522" width="10.54296875" style="6" customWidth="1"/>
    <col min="11523" max="11523" width="11" style="6" customWidth="1"/>
    <col min="11524" max="11524" width="11.54296875" style="6" customWidth="1"/>
    <col min="11525" max="11525" width="8.7265625" style="6"/>
    <col min="11526" max="11526" width="18.453125" style="6" bestFit="1" customWidth="1"/>
    <col min="11527" max="11776" width="8.7265625" style="6"/>
    <col min="11777" max="11778" width="10.54296875" style="6" customWidth="1"/>
    <col min="11779" max="11779" width="11" style="6" customWidth="1"/>
    <col min="11780" max="11780" width="11.54296875" style="6" customWidth="1"/>
    <col min="11781" max="11781" width="8.7265625" style="6"/>
    <col min="11782" max="11782" width="18.453125" style="6" bestFit="1" customWidth="1"/>
    <col min="11783" max="12032" width="8.7265625" style="6"/>
    <col min="12033" max="12034" width="10.54296875" style="6" customWidth="1"/>
    <col min="12035" max="12035" width="11" style="6" customWidth="1"/>
    <col min="12036" max="12036" width="11.54296875" style="6" customWidth="1"/>
    <col min="12037" max="12037" width="8.7265625" style="6"/>
    <col min="12038" max="12038" width="18.453125" style="6" bestFit="1" customWidth="1"/>
    <col min="12039" max="12288" width="8.7265625" style="6"/>
    <col min="12289" max="12290" width="10.54296875" style="6" customWidth="1"/>
    <col min="12291" max="12291" width="11" style="6" customWidth="1"/>
    <col min="12292" max="12292" width="11.54296875" style="6" customWidth="1"/>
    <col min="12293" max="12293" width="8.7265625" style="6"/>
    <col min="12294" max="12294" width="18.453125" style="6" bestFit="1" customWidth="1"/>
    <col min="12295" max="12544" width="8.7265625" style="6"/>
    <col min="12545" max="12546" width="10.54296875" style="6" customWidth="1"/>
    <col min="12547" max="12547" width="11" style="6" customWidth="1"/>
    <col min="12548" max="12548" width="11.54296875" style="6" customWidth="1"/>
    <col min="12549" max="12549" width="8.7265625" style="6"/>
    <col min="12550" max="12550" width="18.453125" style="6" bestFit="1" customWidth="1"/>
    <col min="12551" max="12800" width="8.7265625" style="6"/>
    <col min="12801" max="12802" width="10.54296875" style="6" customWidth="1"/>
    <col min="12803" max="12803" width="11" style="6" customWidth="1"/>
    <col min="12804" max="12804" width="11.54296875" style="6" customWidth="1"/>
    <col min="12805" max="12805" width="8.7265625" style="6"/>
    <col min="12806" max="12806" width="18.453125" style="6" bestFit="1" customWidth="1"/>
    <col min="12807" max="13056" width="8.7265625" style="6"/>
    <col min="13057" max="13058" width="10.54296875" style="6" customWidth="1"/>
    <col min="13059" max="13059" width="11" style="6" customWidth="1"/>
    <col min="13060" max="13060" width="11.54296875" style="6" customWidth="1"/>
    <col min="13061" max="13061" width="8.7265625" style="6"/>
    <col min="13062" max="13062" width="18.453125" style="6" bestFit="1" customWidth="1"/>
    <col min="13063" max="13312" width="8.7265625" style="6"/>
    <col min="13313" max="13314" width="10.54296875" style="6" customWidth="1"/>
    <col min="13315" max="13315" width="11" style="6" customWidth="1"/>
    <col min="13316" max="13316" width="11.54296875" style="6" customWidth="1"/>
    <col min="13317" max="13317" width="8.7265625" style="6"/>
    <col min="13318" max="13318" width="18.453125" style="6" bestFit="1" customWidth="1"/>
    <col min="13319" max="13568" width="8.7265625" style="6"/>
    <col min="13569" max="13570" width="10.54296875" style="6" customWidth="1"/>
    <col min="13571" max="13571" width="11" style="6" customWidth="1"/>
    <col min="13572" max="13572" width="11.54296875" style="6" customWidth="1"/>
    <col min="13573" max="13573" width="8.7265625" style="6"/>
    <col min="13574" max="13574" width="18.453125" style="6" bestFit="1" customWidth="1"/>
    <col min="13575" max="13824" width="8.7265625" style="6"/>
    <col min="13825" max="13826" width="10.54296875" style="6" customWidth="1"/>
    <col min="13827" max="13827" width="11" style="6" customWidth="1"/>
    <col min="13828" max="13828" width="11.54296875" style="6" customWidth="1"/>
    <col min="13829" max="13829" width="8.7265625" style="6"/>
    <col min="13830" max="13830" width="18.453125" style="6" bestFit="1" customWidth="1"/>
    <col min="13831" max="14080" width="8.7265625" style="6"/>
    <col min="14081" max="14082" width="10.54296875" style="6" customWidth="1"/>
    <col min="14083" max="14083" width="11" style="6" customWidth="1"/>
    <col min="14084" max="14084" width="11.54296875" style="6" customWidth="1"/>
    <col min="14085" max="14085" width="8.7265625" style="6"/>
    <col min="14086" max="14086" width="18.453125" style="6" bestFit="1" customWidth="1"/>
    <col min="14087" max="14336" width="8.7265625" style="6"/>
    <col min="14337" max="14338" width="10.54296875" style="6" customWidth="1"/>
    <col min="14339" max="14339" width="11" style="6" customWidth="1"/>
    <col min="14340" max="14340" width="11.54296875" style="6" customWidth="1"/>
    <col min="14341" max="14341" width="8.7265625" style="6"/>
    <col min="14342" max="14342" width="18.453125" style="6" bestFit="1" customWidth="1"/>
    <col min="14343" max="14592" width="8.7265625" style="6"/>
    <col min="14593" max="14594" width="10.54296875" style="6" customWidth="1"/>
    <col min="14595" max="14595" width="11" style="6" customWidth="1"/>
    <col min="14596" max="14596" width="11.54296875" style="6" customWidth="1"/>
    <col min="14597" max="14597" width="8.7265625" style="6"/>
    <col min="14598" max="14598" width="18.453125" style="6" bestFit="1" customWidth="1"/>
    <col min="14599" max="14848" width="8.7265625" style="6"/>
    <col min="14849" max="14850" width="10.54296875" style="6" customWidth="1"/>
    <col min="14851" max="14851" width="11" style="6" customWidth="1"/>
    <col min="14852" max="14852" width="11.54296875" style="6" customWidth="1"/>
    <col min="14853" max="14853" width="8.7265625" style="6"/>
    <col min="14854" max="14854" width="18.453125" style="6" bestFit="1" customWidth="1"/>
    <col min="14855" max="15104" width="8.7265625" style="6"/>
    <col min="15105" max="15106" width="10.54296875" style="6" customWidth="1"/>
    <col min="15107" max="15107" width="11" style="6" customWidth="1"/>
    <col min="15108" max="15108" width="11.54296875" style="6" customWidth="1"/>
    <col min="15109" max="15109" width="8.7265625" style="6"/>
    <col min="15110" max="15110" width="18.453125" style="6" bestFit="1" customWidth="1"/>
    <col min="15111" max="15360" width="8.7265625" style="6"/>
    <col min="15361" max="15362" width="10.54296875" style="6" customWidth="1"/>
    <col min="15363" max="15363" width="11" style="6" customWidth="1"/>
    <col min="15364" max="15364" width="11.54296875" style="6" customWidth="1"/>
    <col min="15365" max="15365" width="8.7265625" style="6"/>
    <col min="15366" max="15366" width="18.453125" style="6" bestFit="1" customWidth="1"/>
    <col min="15367" max="15616" width="8.7265625" style="6"/>
    <col min="15617" max="15618" width="10.54296875" style="6" customWidth="1"/>
    <col min="15619" max="15619" width="11" style="6" customWidth="1"/>
    <col min="15620" max="15620" width="11.54296875" style="6" customWidth="1"/>
    <col min="15621" max="15621" width="8.7265625" style="6"/>
    <col min="15622" max="15622" width="18.453125" style="6" bestFit="1" customWidth="1"/>
    <col min="15623" max="15872" width="8.7265625" style="6"/>
    <col min="15873" max="15874" width="10.54296875" style="6" customWidth="1"/>
    <col min="15875" max="15875" width="11" style="6" customWidth="1"/>
    <col min="15876" max="15876" width="11.54296875" style="6" customWidth="1"/>
    <col min="15877" max="15877" width="8.7265625" style="6"/>
    <col min="15878" max="15878" width="18.453125" style="6" bestFit="1" customWidth="1"/>
    <col min="15879" max="16128" width="8.7265625" style="6"/>
    <col min="16129" max="16130" width="10.54296875" style="6" customWidth="1"/>
    <col min="16131" max="16131" width="11" style="6" customWidth="1"/>
    <col min="16132" max="16132" width="11.54296875" style="6" customWidth="1"/>
    <col min="16133" max="16133" width="8.7265625" style="6"/>
    <col min="16134" max="16134" width="18.453125" style="6" bestFit="1" customWidth="1"/>
    <col min="16135" max="16384" width="8.7265625" style="6"/>
  </cols>
  <sheetData>
    <row r="1" spans="1:20" ht="28">
      <c r="A1" s="245" t="s">
        <v>183</v>
      </c>
      <c r="B1" s="245"/>
      <c r="C1" s="245"/>
      <c r="D1" s="245"/>
    </row>
    <row r="4" spans="1:20">
      <c r="A4" s="114" t="s">
        <v>145</v>
      </c>
      <c r="B4" s="114" t="s">
        <v>146</v>
      </c>
      <c r="C4" s="114" t="s">
        <v>147</v>
      </c>
      <c r="D4" s="114" t="s">
        <v>148</v>
      </c>
      <c r="F4" s="6" t="s">
        <v>149</v>
      </c>
      <c r="N4" s="115" t="s">
        <v>149</v>
      </c>
      <c r="O4" s="115"/>
      <c r="P4" s="115"/>
      <c r="Q4" s="115"/>
      <c r="R4" s="115"/>
      <c r="S4" s="115"/>
      <c r="T4" s="115"/>
    </row>
    <row r="5" spans="1:20">
      <c r="A5" s="6">
        <v>47.6</v>
      </c>
      <c r="B5" s="6">
        <v>52.8</v>
      </c>
      <c r="C5" s="6">
        <v>50.4</v>
      </c>
      <c r="D5" s="6">
        <v>52.4</v>
      </c>
      <c r="N5" s="115"/>
      <c r="O5" s="115"/>
      <c r="P5" s="115"/>
      <c r="Q5" s="115"/>
      <c r="R5" s="115"/>
      <c r="S5" s="115"/>
      <c r="T5" s="115"/>
    </row>
    <row r="6" spans="1:20" ht="13" thickBot="1">
      <c r="A6" s="6">
        <v>52.5</v>
      </c>
      <c r="B6" s="6">
        <v>51.4</v>
      </c>
      <c r="C6" s="6">
        <v>55.8</v>
      </c>
      <c r="D6" s="6">
        <v>51.6</v>
      </c>
      <c r="F6" s="6" t="s">
        <v>150</v>
      </c>
      <c r="N6" s="115" t="s">
        <v>150</v>
      </c>
      <c r="O6" s="115"/>
      <c r="P6" s="115"/>
      <c r="Q6" s="115"/>
      <c r="R6" s="115"/>
      <c r="S6" s="115"/>
      <c r="T6" s="115"/>
    </row>
    <row r="7" spans="1:20" ht="13">
      <c r="A7" s="6">
        <v>45.9</v>
      </c>
      <c r="B7" s="6">
        <v>49.7</v>
      </c>
      <c r="C7" s="6">
        <v>49.8</v>
      </c>
      <c r="D7" s="6">
        <v>57.8</v>
      </c>
      <c r="F7" s="116" t="s">
        <v>151</v>
      </c>
      <c r="G7" s="116" t="s">
        <v>152</v>
      </c>
      <c r="H7" s="116" t="s">
        <v>153</v>
      </c>
      <c r="I7" s="116" t="s">
        <v>154</v>
      </c>
      <c r="J7" s="116" t="s">
        <v>155</v>
      </c>
      <c r="N7" s="117" t="s">
        <v>151</v>
      </c>
      <c r="O7" s="117" t="s">
        <v>152</v>
      </c>
      <c r="P7" s="117" t="s">
        <v>153</v>
      </c>
      <c r="Q7" s="117" t="s">
        <v>154</v>
      </c>
      <c r="R7" s="117" t="s">
        <v>155</v>
      </c>
      <c r="S7" s="115"/>
      <c r="T7" s="115"/>
    </row>
    <row r="8" spans="1:20">
      <c r="A8" s="6">
        <v>51.6</v>
      </c>
      <c r="B8" s="6">
        <v>54.2</v>
      </c>
      <c r="C8" s="6">
        <v>51.8</v>
      </c>
      <c r="D8" s="6">
        <v>53.2</v>
      </c>
      <c r="F8" s="6" t="s">
        <v>145</v>
      </c>
      <c r="G8" s="118">
        <f>COUNTA($A$5:$A$12)</f>
        <v>8</v>
      </c>
      <c r="H8" s="118">
        <f>SUM($A$5:$A$12)</f>
        <v>398</v>
      </c>
      <c r="I8" s="118">
        <f>AVERAGE($A$5:$A$12)</f>
        <v>49.75</v>
      </c>
      <c r="J8" s="118">
        <f>_xlfn.VAR.S($A$5:$A$12)</f>
        <v>5.4314285714285742</v>
      </c>
      <c r="N8" s="115" t="s">
        <v>145</v>
      </c>
      <c r="O8" s="115">
        <v>8</v>
      </c>
      <c r="P8" s="115">
        <v>398</v>
      </c>
      <c r="Q8" s="115">
        <v>49.75</v>
      </c>
      <c r="R8" s="115">
        <v>5.4314285714285742</v>
      </c>
      <c r="S8" s="115"/>
      <c r="T8" s="115"/>
    </row>
    <row r="9" spans="1:20">
      <c r="A9" s="6">
        <v>51.7</v>
      </c>
      <c r="B9" s="6">
        <v>53.6</v>
      </c>
      <c r="C9" s="6">
        <v>51.8</v>
      </c>
      <c r="D9" s="6">
        <v>49.1</v>
      </c>
      <c r="F9" s="6" t="s">
        <v>146</v>
      </c>
      <c r="G9" s="118">
        <f>COUNTA($B$5:$B$11)</f>
        <v>7</v>
      </c>
      <c r="H9" s="118">
        <f>SUM(B5:B11)</f>
        <v>368.5</v>
      </c>
      <c r="I9" s="118">
        <f>AVERAGE(B5:B11)</f>
        <v>52.642857142857146</v>
      </c>
      <c r="J9" s="118">
        <f>_xlfn.VAR.S(B5:B11)</f>
        <v>2.5728571428571425</v>
      </c>
      <c r="N9" s="115" t="s">
        <v>146</v>
      </c>
      <c r="O9" s="115">
        <v>7</v>
      </c>
      <c r="P9" s="115">
        <v>368.5</v>
      </c>
      <c r="Q9" s="115">
        <v>52.642857142857146</v>
      </c>
      <c r="R9" s="115">
        <v>2.5728571428571425</v>
      </c>
      <c r="S9" s="115"/>
      <c r="T9" s="115"/>
    </row>
    <row r="10" spans="1:20">
      <c r="A10" s="6">
        <v>50.4</v>
      </c>
      <c r="B10" s="6">
        <v>52.8</v>
      </c>
      <c r="C10" s="6">
        <v>53.2</v>
      </c>
      <c r="D10" s="6">
        <v>51.6</v>
      </c>
      <c r="F10" s="6" t="s">
        <v>147</v>
      </c>
      <c r="G10" s="118">
        <f>COUNTA($C$5:$C$11)</f>
        <v>7</v>
      </c>
      <c r="H10" s="118">
        <f>SUM(C5:C11)</f>
        <v>364</v>
      </c>
      <c r="I10" s="118">
        <f>AVERAGE(C5:C11)</f>
        <v>52</v>
      </c>
      <c r="J10" s="118">
        <f>_xlfn.VAR.S(C5:C11)</f>
        <v>4.0000000000000009</v>
      </c>
      <c r="N10" s="115" t="s">
        <v>147</v>
      </c>
      <c r="O10" s="115">
        <v>7</v>
      </c>
      <c r="P10" s="115">
        <v>364</v>
      </c>
      <c r="Q10" s="115">
        <v>52</v>
      </c>
      <c r="R10" s="115">
        <v>4.0000000000000009</v>
      </c>
      <c r="S10" s="115"/>
      <c r="T10" s="115"/>
    </row>
    <row r="11" spans="1:20" ht="13" thickBot="1">
      <c r="A11" s="6">
        <v>48</v>
      </c>
      <c r="B11" s="6">
        <v>54</v>
      </c>
      <c r="C11" s="6">
        <v>51.2</v>
      </c>
      <c r="D11" s="6">
        <v>44.2</v>
      </c>
      <c r="F11" s="119" t="s">
        <v>148</v>
      </c>
      <c r="G11" s="120">
        <f>COUNTA($D$5:$D$12)</f>
        <v>8</v>
      </c>
      <c r="H11" s="120">
        <f>SUM($D$5:$D$12)</f>
        <v>409.6</v>
      </c>
      <c r="I11" s="120">
        <f>AVERAGE($D$5:$D$12)</f>
        <v>51.2</v>
      </c>
      <c r="J11" s="120">
        <f>_xlfn.VAR.S($D$5:$D$12)</f>
        <v>14.997142857142844</v>
      </c>
      <c r="N11" s="121" t="s">
        <v>148</v>
      </c>
      <c r="O11" s="121">
        <v>8</v>
      </c>
      <c r="P11" s="121">
        <v>409.6</v>
      </c>
      <c r="Q11" s="121">
        <v>51.2</v>
      </c>
      <c r="R11" s="121">
        <v>14.997142857142844</v>
      </c>
      <c r="S11" s="115"/>
      <c r="T11" s="115"/>
    </row>
    <row r="12" spans="1:20">
      <c r="A12" s="6">
        <v>50.3</v>
      </c>
      <c r="D12" s="6">
        <v>49.7</v>
      </c>
      <c r="F12" s="118">
        <f>COUNTA(F8:F11)</f>
        <v>4</v>
      </c>
      <c r="G12" s="118">
        <f>SUM(G8:G11)</f>
        <v>30</v>
      </c>
      <c r="H12" s="118">
        <f>SUM(H8:H11)</f>
        <v>1540.1</v>
      </c>
      <c r="N12" s="115"/>
      <c r="O12" s="115"/>
      <c r="P12" s="115"/>
      <c r="Q12" s="115"/>
      <c r="R12" s="115"/>
      <c r="S12" s="115"/>
      <c r="T12" s="115"/>
    </row>
    <row r="13" spans="1:20">
      <c r="F13" s="122" t="s">
        <v>184</v>
      </c>
      <c r="G13" s="122" t="s">
        <v>185</v>
      </c>
      <c r="N13" s="115"/>
      <c r="O13" s="115"/>
      <c r="P13" s="115"/>
      <c r="Q13" s="115"/>
      <c r="R13" s="115"/>
      <c r="S13" s="115"/>
      <c r="T13" s="115"/>
    </row>
    <row r="14" spans="1:20" ht="13" thickBot="1">
      <c r="A14" s="6" t="s">
        <v>186</v>
      </c>
      <c r="F14" s="6" t="s">
        <v>65</v>
      </c>
      <c r="N14" s="115" t="s">
        <v>65</v>
      </c>
      <c r="O14" s="115"/>
      <c r="P14" s="115"/>
      <c r="Q14" s="115"/>
      <c r="R14" s="115"/>
      <c r="S14" s="115"/>
      <c r="T14" s="115"/>
    </row>
    <row r="15" spans="1:20" ht="15.5">
      <c r="A15" s="6" t="s">
        <v>187</v>
      </c>
      <c r="F15" s="116" t="s">
        <v>156</v>
      </c>
      <c r="G15" s="116" t="s">
        <v>70</v>
      </c>
      <c r="H15" s="116" t="s">
        <v>69</v>
      </c>
      <c r="I15" s="116" t="s">
        <v>71</v>
      </c>
      <c r="J15" s="116" t="s">
        <v>19</v>
      </c>
      <c r="K15" s="116" t="s">
        <v>75</v>
      </c>
      <c r="L15" s="116" t="s">
        <v>157</v>
      </c>
      <c r="N15" s="117" t="s">
        <v>156</v>
      </c>
      <c r="O15" s="117" t="s">
        <v>70</v>
      </c>
      <c r="P15" s="117" t="s">
        <v>69</v>
      </c>
      <c r="Q15" s="117" t="s">
        <v>71</v>
      </c>
      <c r="R15" s="117" t="s">
        <v>19</v>
      </c>
      <c r="S15" s="117" t="s">
        <v>75</v>
      </c>
      <c r="T15" s="117" t="s">
        <v>157</v>
      </c>
    </row>
    <row r="16" spans="1:20">
      <c r="A16" s="6" t="s">
        <v>188</v>
      </c>
      <c r="F16" s="6" t="s">
        <v>158</v>
      </c>
      <c r="G16" s="118">
        <f>H8^2/G8+H9^2/G9+H10^2/G10+H11^2/G11-H12^2/G12</f>
        <v>35.312523809538106</v>
      </c>
      <c r="H16" s="118">
        <f>COUNTA(A4:D4)-1</f>
        <v>3</v>
      </c>
      <c r="I16" s="118">
        <f>G16/H16</f>
        <v>11.770841269846036</v>
      </c>
      <c r="J16" s="118">
        <f>I16/I17</f>
        <v>1.6775195457630061</v>
      </c>
      <c r="K16" s="118">
        <f>_xlfn.F.DIST.RT(J16,H16,H17)</f>
        <v>0.19626872010960775</v>
      </c>
      <c r="L16" s="118">
        <f>_xlfn.F.INV.RT(0.05,H16,H17)</f>
        <v>2.9751539639733933</v>
      </c>
      <c r="N16" s="115" t="s">
        <v>158</v>
      </c>
      <c r="O16" s="115">
        <v>35.312523809523782</v>
      </c>
      <c r="P16" s="115">
        <v>3</v>
      </c>
      <c r="Q16" s="115">
        <v>11.770841269841261</v>
      </c>
      <c r="R16" s="115">
        <v>1.6775195457622276</v>
      </c>
      <c r="S16" s="115">
        <v>0.196268720109773</v>
      </c>
      <c r="T16" s="115">
        <v>2.9751539639733933</v>
      </c>
    </row>
    <row r="17" spans="1:20" ht="15.5">
      <c r="A17" s="6" t="s">
        <v>189</v>
      </c>
      <c r="F17" s="6" t="s">
        <v>159</v>
      </c>
      <c r="G17" s="118">
        <f>G19-G16</f>
        <v>182.43714285713213</v>
      </c>
      <c r="H17" s="118">
        <f>COUNTA(A5:D12)-COUNTA(A4:D4)</f>
        <v>26</v>
      </c>
      <c r="I17" s="118">
        <f>G17/H17</f>
        <v>7.0168131868127741</v>
      </c>
      <c r="N17" s="115" t="s">
        <v>159</v>
      </c>
      <c r="O17" s="115">
        <v>182.43714285714279</v>
      </c>
      <c r="P17" s="115">
        <v>26</v>
      </c>
      <c r="Q17" s="115">
        <v>7.0168131868131844</v>
      </c>
      <c r="R17" s="115"/>
      <c r="S17" s="115"/>
      <c r="T17" s="115"/>
    </row>
    <row r="18" spans="1:20">
      <c r="N18" s="115"/>
      <c r="O18" s="115"/>
      <c r="P18" s="115"/>
      <c r="Q18" s="115"/>
      <c r="R18" s="115"/>
      <c r="S18" s="115"/>
      <c r="T18" s="115"/>
    </row>
    <row r="19" spans="1:20" ht="13" thickBot="1">
      <c r="A19" s="6" t="s">
        <v>190</v>
      </c>
      <c r="F19" s="119" t="s">
        <v>68</v>
      </c>
      <c r="G19" s="120">
        <f>SUM(F43:I50)-(H12^2)/G12</f>
        <v>217.74966666667024</v>
      </c>
      <c r="H19" s="120">
        <f>H16+H17</f>
        <v>29</v>
      </c>
      <c r="I19" s="119"/>
      <c r="J19" s="119"/>
      <c r="K19" s="119"/>
      <c r="L19" s="119"/>
      <c r="N19" s="121" t="s">
        <v>68</v>
      </c>
      <c r="O19" s="121">
        <v>217.74966666666657</v>
      </c>
      <c r="P19" s="121">
        <v>29</v>
      </c>
      <c r="Q19" s="121"/>
      <c r="R19" s="121"/>
      <c r="S19" s="121"/>
      <c r="T19" s="121"/>
    </row>
    <row r="20" spans="1:20" ht="15.5">
      <c r="F20" s="123" t="s">
        <v>191</v>
      </c>
      <c r="J20" s="6" t="s">
        <v>192</v>
      </c>
    </row>
    <row r="22" spans="1:20">
      <c r="F22" s="243" t="s">
        <v>156</v>
      </c>
      <c r="G22" s="243" t="s">
        <v>193</v>
      </c>
      <c r="H22" s="243" t="s">
        <v>194</v>
      </c>
      <c r="I22" s="243" t="s">
        <v>195</v>
      </c>
      <c r="J22" s="243" t="s">
        <v>168</v>
      </c>
    </row>
    <row r="23" spans="1:20">
      <c r="F23" s="246"/>
      <c r="G23" s="246"/>
      <c r="H23" s="246"/>
      <c r="I23" s="246"/>
      <c r="J23" s="244"/>
    </row>
    <row r="24" spans="1:20" ht="15.5">
      <c r="A24" s="6" t="s">
        <v>196</v>
      </c>
      <c r="F24" s="240" t="s">
        <v>197</v>
      </c>
      <c r="G24" s="240" t="s">
        <v>171</v>
      </c>
      <c r="H24" s="240" t="s">
        <v>172</v>
      </c>
      <c r="I24" s="240" t="s">
        <v>173</v>
      </c>
      <c r="J24" s="240" t="s">
        <v>174</v>
      </c>
    </row>
    <row r="25" spans="1:20" ht="12.5" customHeight="1">
      <c r="A25" s="6" t="s">
        <v>198</v>
      </c>
      <c r="F25" s="240"/>
      <c r="G25" s="240"/>
      <c r="H25" s="240"/>
      <c r="I25" s="240"/>
      <c r="J25" s="240"/>
    </row>
    <row r="26" spans="1:20">
      <c r="A26" s="6" t="s">
        <v>199</v>
      </c>
      <c r="F26" s="240" t="s">
        <v>54</v>
      </c>
      <c r="G26" s="240" t="s">
        <v>175</v>
      </c>
      <c r="H26" s="240" t="s">
        <v>176</v>
      </c>
      <c r="I26" s="241" t="s">
        <v>177</v>
      </c>
      <c r="J26" s="240"/>
    </row>
    <row r="27" spans="1:20">
      <c r="A27" s="6" t="s">
        <v>200</v>
      </c>
      <c r="F27" s="240"/>
      <c r="G27" s="240"/>
      <c r="H27" s="240"/>
      <c r="I27" s="242"/>
      <c r="J27" s="240"/>
    </row>
    <row r="28" spans="1:20">
      <c r="A28" s="6" t="s">
        <v>201</v>
      </c>
      <c r="F28" s="124" t="s">
        <v>68</v>
      </c>
      <c r="G28" s="124" t="s">
        <v>178</v>
      </c>
      <c r="H28" s="124" t="s">
        <v>179</v>
      </c>
      <c r="I28" s="124"/>
      <c r="J28" s="124"/>
    </row>
    <row r="30" spans="1:20">
      <c r="D30" s="125" t="s">
        <v>202</v>
      </c>
    </row>
    <row r="31" spans="1:20">
      <c r="D31" s="125" t="s">
        <v>203</v>
      </c>
    </row>
    <row r="32" spans="1:20">
      <c r="D32" s="6" t="s">
        <v>204</v>
      </c>
    </row>
    <row r="33" spans="1:11">
      <c r="D33" s="6" t="s">
        <v>205</v>
      </c>
      <c r="F33" s="115"/>
    </row>
    <row r="34" spans="1:11" ht="13">
      <c r="A34" s="6" t="s">
        <v>206</v>
      </c>
      <c r="D34" s="126" t="s">
        <v>207</v>
      </c>
    </row>
    <row r="35" spans="1:11">
      <c r="A35" s="6" t="s">
        <v>208</v>
      </c>
    </row>
    <row r="36" spans="1:11">
      <c r="A36" s="6" t="s">
        <v>209</v>
      </c>
    </row>
    <row r="37" spans="1:11">
      <c r="A37" s="6" t="s">
        <v>210</v>
      </c>
    </row>
    <row r="38" spans="1:11">
      <c r="A38" s="6" t="s">
        <v>211</v>
      </c>
    </row>
    <row r="39" spans="1:11" ht="13">
      <c r="A39" s="6" t="s">
        <v>212</v>
      </c>
    </row>
    <row r="40" spans="1:11" ht="13">
      <c r="A40" s="125" t="s">
        <v>216</v>
      </c>
    </row>
    <row r="42" spans="1:11">
      <c r="A42" s="114" t="s">
        <v>145</v>
      </c>
      <c r="B42" s="114" t="s">
        <v>146</v>
      </c>
      <c r="C42" s="114" t="s">
        <v>147</v>
      </c>
      <c r="D42" s="114" t="s">
        <v>148</v>
      </c>
      <c r="F42" s="127" t="s">
        <v>145</v>
      </c>
      <c r="G42" s="127" t="s">
        <v>146</v>
      </c>
      <c r="H42" s="127" t="s">
        <v>147</v>
      </c>
      <c r="I42" s="127" t="s">
        <v>148</v>
      </c>
      <c r="K42" s="6" t="s">
        <v>213</v>
      </c>
    </row>
    <row r="43" spans="1:11">
      <c r="A43" s="114">
        <v>47.6</v>
      </c>
      <c r="B43" s="114">
        <v>52.8</v>
      </c>
      <c r="C43" s="114">
        <v>50.4</v>
      </c>
      <c r="D43" s="114">
        <v>52.4</v>
      </c>
      <c r="F43" s="114">
        <f>A43^2</f>
        <v>2265.7600000000002</v>
      </c>
      <c r="G43" s="114">
        <f t="shared" ref="G43:I50" si="0">B43^2</f>
        <v>2787.8399999999997</v>
      </c>
      <c r="H43" s="114">
        <f t="shared" si="0"/>
        <v>2540.16</v>
      </c>
      <c r="I43" s="114">
        <f t="shared" si="0"/>
        <v>2745.7599999999998</v>
      </c>
      <c r="K43" s="6">
        <f>SUM(F43:I50)</f>
        <v>79281.349999999991</v>
      </c>
    </row>
    <row r="44" spans="1:11">
      <c r="A44" s="114">
        <v>52.5</v>
      </c>
      <c r="B44" s="114">
        <v>51.4</v>
      </c>
      <c r="C44" s="114">
        <v>55.8</v>
      </c>
      <c r="D44" s="114">
        <v>51.6</v>
      </c>
      <c r="F44" s="114">
        <f t="shared" ref="F44:F50" si="1">A44^2</f>
        <v>2756.25</v>
      </c>
      <c r="G44" s="114">
        <f t="shared" si="0"/>
        <v>2641.96</v>
      </c>
      <c r="H44" s="114">
        <f t="shared" si="0"/>
        <v>3113.64</v>
      </c>
      <c r="I44" s="114">
        <f t="shared" si="0"/>
        <v>2662.56</v>
      </c>
    </row>
    <row r="45" spans="1:11">
      <c r="A45" s="114">
        <v>45.9</v>
      </c>
      <c r="B45" s="114">
        <v>49.7</v>
      </c>
      <c r="C45" s="114">
        <v>49.8</v>
      </c>
      <c r="D45" s="114">
        <v>57.8</v>
      </c>
      <c r="F45" s="114">
        <f t="shared" si="1"/>
        <v>2106.81</v>
      </c>
      <c r="G45" s="114">
        <f t="shared" si="0"/>
        <v>2470.09</v>
      </c>
      <c r="H45" s="114">
        <f t="shared" si="0"/>
        <v>2480.0399999999995</v>
      </c>
      <c r="I45" s="114">
        <f t="shared" si="0"/>
        <v>3340.8399999999997</v>
      </c>
    </row>
    <row r="46" spans="1:11">
      <c r="A46" s="114">
        <v>51.6</v>
      </c>
      <c r="B46" s="114">
        <v>54.2</v>
      </c>
      <c r="C46" s="114">
        <v>51.8</v>
      </c>
      <c r="D46" s="114">
        <v>53.2</v>
      </c>
      <c r="F46" s="114">
        <f t="shared" si="1"/>
        <v>2662.56</v>
      </c>
      <c r="G46" s="114">
        <f t="shared" si="0"/>
        <v>2937.6400000000003</v>
      </c>
      <c r="H46" s="114">
        <f t="shared" si="0"/>
        <v>2683.24</v>
      </c>
      <c r="I46" s="114">
        <f t="shared" si="0"/>
        <v>2830.2400000000002</v>
      </c>
    </row>
    <row r="47" spans="1:11">
      <c r="A47" s="114">
        <v>51.7</v>
      </c>
      <c r="B47" s="114">
        <v>53.6</v>
      </c>
      <c r="C47" s="114">
        <v>51.8</v>
      </c>
      <c r="D47" s="114">
        <v>49.1</v>
      </c>
      <c r="F47" s="114">
        <f t="shared" si="1"/>
        <v>2672.8900000000003</v>
      </c>
      <c r="G47" s="114">
        <f t="shared" si="0"/>
        <v>2872.96</v>
      </c>
      <c r="H47" s="114">
        <f t="shared" si="0"/>
        <v>2683.24</v>
      </c>
      <c r="I47" s="114">
        <f t="shared" si="0"/>
        <v>2410.81</v>
      </c>
    </row>
    <row r="48" spans="1:11">
      <c r="A48" s="114">
        <v>50.4</v>
      </c>
      <c r="B48" s="114">
        <v>52.8</v>
      </c>
      <c r="C48" s="114">
        <v>53.2</v>
      </c>
      <c r="D48" s="114">
        <v>51.6</v>
      </c>
      <c r="F48" s="114">
        <f t="shared" si="1"/>
        <v>2540.16</v>
      </c>
      <c r="G48" s="114">
        <f t="shared" si="0"/>
        <v>2787.8399999999997</v>
      </c>
      <c r="H48" s="114">
        <f t="shared" si="0"/>
        <v>2830.2400000000002</v>
      </c>
      <c r="I48" s="114">
        <f t="shared" si="0"/>
        <v>2662.56</v>
      </c>
    </row>
    <row r="49" spans="1:9">
      <c r="A49" s="114">
        <v>48</v>
      </c>
      <c r="B49" s="114">
        <v>54</v>
      </c>
      <c r="C49" s="114">
        <v>51.2</v>
      </c>
      <c r="D49" s="114">
        <v>44.2</v>
      </c>
      <c r="F49" s="114">
        <f t="shared" si="1"/>
        <v>2304</v>
      </c>
      <c r="G49" s="114">
        <f t="shared" si="0"/>
        <v>2916</v>
      </c>
      <c r="H49" s="114">
        <f t="shared" si="0"/>
        <v>2621.4400000000005</v>
      </c>
      <c r="I49" s="114">
        <f t="shared" si="0"/>
        <v>1953.6400000000003</v>
      </c>
    </row>
    <row r="50" spans="1:9">
      <c r="A50" s="114">
        <v>50.3</v>
      </c>
      <c r="D50" s="114">
        <v>49.7</v>
      </c>
      <c r="F50" s="114">
        <f t="shared" si="1"/>
        <v>2530.0899999999997</v>
      </c>
      <c r="G50" s="114"/>
      <c r="H50" s="114"/>
      <c r="I50" s="114">
        <f t="shared" si="0"/>
        <v>2470.09</v>
      </c>
    </row>
    <row r="51" spans="1:9">
      <c r="A51" s="128" t="s">
        <v>214</v>
      </c>
      <c r="F51" s="128" t="s">
        <v>215</v>
      </c>
    </row>
  </sheetData>
  <mergeCells count="16">
    <mergeCell ref="J22:J23"/>
    <mergeCell ref="A1:D1"/>
    <mergeCell ref="F22:F23"/>
    <mergeCell ref="G22:G23"/>
    <mergeCell ref="H22:H23"/>
    <mergeCell ref="I22:I23"/>
    <mergeCell ref="F26:F27"/>
    <mergeCell ref="G26:G27"/>
    <mergeCell ref="H26:H27"/>
    <mergeCell ref="I26:I27"/>
    <mergeCell ref="J26:J27"/>
    <mergeCell ref="F24:F25"/>
    <mergeCell ref="G24:G25"/>
    <mergeCell ref="H24:H25"/>
    <mergeCell ref="I24:I25"/>
    <mergeCell ref="J24:J25"/>
  </mergeCells>
  <hyperlinks>
    <hyperlink ref="F20" r:id="rId1" xr:uid="{476D9637-465A-4F27-80F6-399708C45335}"/>
  </hyperlinks>
  <pageMargins left="0.75" right="0.75" top="1" bottom="1" header="0.5" footer="0.5"/>
  <pageSetup orientation="portrait" r:id="rId2"/>
  <headerFooter alignWithMargins="0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FCC69-7A34-4EEF-89B6-8639343D7851}">
  <dimension ref="A1:Q75"/>
  <sheetViews>
    <sheetView topLeftCell="A15" workbookViewId="0">
      <selection activeCell="H30" sqref="H30"/>
    </sheetView>
  </sheetViews>
  <sheetFormatPr defaultRowHeight="14.5"/>
  <cols>
    <col min="6" max="6" width="16.1796875" customWidth="1"/>
  </cols>
  <sheetData>
    <row r="1" spans="1:17" ht="28">
      <c r="A1" s="245" t="s">
        <v>217</v>
      </c>
      <c r="B1" s="245"/>
      <c r="C1" s="245"/>
      <c r="D1" s="245"/>
    </row>
    <row r="2" spans="1:17">
      <c r="B2" t="s">
        <v>218</v>
      </c>
      <c r="C2" t="s">
        <v>219</v>
      </c>
      <c r="D2" t="s">
        <v>220</v>
      </c>
      <c r="F2" t="s">
        <v>221</v>
      </c>
      <c r="L2" s="247" t="s">
        <v>222</v>
      </c>
      <c r="M2" s="247"/>
      <c r="N2" s="247"/>
      <c r="O2" s="247"/>
      <c r="P2" s="247"/>
      <c r="Q2" s="247"/>
    </row>
    <row r="3" spans="1:17">
      <c r="A3" t="s">
        <v>223</v>
      </c>
      <c r="B3">
        <v>10</v>
      </c>
      <c r="C3">
        <v>10</v>
      </c>
      <c r="D3">
        <v>9</v>
      </c>
      <c r="L3" s="247"/>
      <c r="M3" s="247"/>
      <c r="N3" s="247"/>
      <c r="O3" s="247"/>
      <c r="P3" s="247"/>
      <c r="Q3" s="247"/>
    </row>
    <row r="4" spans="1:17">
      <c r="B4">
        <v>7</v>
      </c>
      <c r="C4">
        <v>2</v>
      </c>
      <c r="D4">
        <v>6</v>
      </c>
      <c r="F4" t="s">
        <v>150</v>
      </c>
      <c r="G4" t="s">
        <v>218</v>
      </c>
      <c r="H4" t="s">
        <v>219</v>
      </c>
      <c r="I4" t="s">
        <v>220</v>
      </c>
      <c r="J4" t="s">
        <v>68</v>
      </c>
    </row>
    <row r="5" spans="1:17" ht="15" thickBot="1">
      <c r="B5">
        <v>10</v>
      </c>
      <c r="C5">
        <v>10</v>
      </c>
      <c r="D5">
        <v>9</v>
      </c>
      <c r="F5" s="129" t="s">
        <v>223</v>
      </c>
      <c r="G5" s="129"/>
      <c r="H5" s="129"/>
      <c r="I5" s="129"/>
      <c r="J5" s="129"/>
    </row>
    <row r="6" spans="1:17">
      <c r="A6" t="s">
        <v>224</v>
      </c>
      <c r="B6">
        <v>1</v>
      </c>
      <c r="C6">
        <v>4</v>
      </c>
      <c r="D6">
        <v>4</v>
      </c>
      <c r="F6" t="s">
        <v>152</v>
      </c>
      <c r="G6">
        <v>3</v>
      </c>
      <c r="H6">
        <v>3</v>
      </c>
      <c r="I6">
        <v>3</v>
      </c>
      <c r="J6">
        <v>9</v>
      </c>
    </row>
    <row r="7" spans="1:17">
      <c r="B7">
        <v>1</v>
      </c>
      <c r="C7">
        <v>2</v>
      </c>
      <c r="D7">
        <v>1</v>
      </c>
      <c r="F7" t="s">
        <v>153</v>
      </c>
      <c r="G7">
        <v>27</v>
      </c>
      <c r="H7">
        <v>22</v>
      </c>
      <c r="I7">
        <v>24</v>
      </c>
      <c r="J7">
        <v>73</v>
      </c>
    </row>
    <row r="8" spans="1:17">
      <c r="B8">
        <v>9</v>
      </c>
      <c r="C8">
        <v>4</v>
      </c>
      <c r="D8">
        <v>9</v>
      </c>
      <c r="F8" t="s">
        <v>154</v>
      </c>
      <c r="G8">
        <v>9</v>
      </c>
      <c r="H8">
        <v>7.333333333333333</v>
      </c>
      <c r="I8">
        <v>8</v>
      </c>
      <c r="J8">
        <v>8.1111111111111107</v>
      </c>
    </row>
    <row r="9" spans="1:17">
      <c r="A9" t="s">
        <v>225</v>
      </c>
      <c r="B9">
        <v>1</v>
      </c>
      <c r="C9">
        <v>5</v>
      </c>
      <c r="D9">
        <v>10</v>
      </c>
      <c r="F9" t="s">
        <v>155</v>
      </c>
      <c r="G9">
        <v>3</v>
      </c>
      <c r="H9">
        <v>21.333333333333329</v>
      </c>
      <c r="I9">
        <v>3</v>
      </c>
      <c r="J9">
        <v>7.3611111111111143</v>
      </c>
    </row>
    <row r="10" spans="1:17">
      <c r="B10">
        <v>4</v>
      </c>
      <c r="C10">
        <v>7</v>
      </c>
      <c r="D10">
        <v>10</v>
      </c>
      <c r="L10" s="247" t="s">
        <v>226</v>
      </c>
      <c r="M10" s="247"/>
      <c r="N10" s="247"/>
      <c r="O10" s="247"/>
      <c r="P10" s="247"/>
      <c r="Q10" s="247"/>
    </row>
    <row r="11" spans="1:17" ht="15" thickBot="1">
      <c r="B11">
        <v>4</v>
      </c>
      <c r="C11">
        <v>5</v>
      </c>
      <c r="D11">
        <v>10</v>
      </c>
      <c r="F11" s="129" t="s">
        <v>224</v>
      </c>
      <c r="G11" s="129"/>
      <c r="H11" s="129"/>
      <c r="I11" s="129"/>
      <c r="J11" s="129"/>
      <c r="L11" s="247"/>
      <c r="M11" s="247"/>
      <c r="N11" s="247"/>
      <c r="O11" s="247"/>
      <c r="P11" s="247"/>
      <c r="Q11" s="247"/>
    </row>
    <row r="12" spans="1:17">
      <c r="F12" t="s">
        <v>152</v>
      </c>
      <c r="G12">
        <v>3</v>
      </c>
      <c r="H12">
        <v>3</v>
      </c>
      <c r="I12">
        <v>3</v>
      </c>
      <c r="J12">
        <v>9</v>
      </c>
    </row>
    <row r="13" spans="1:17">
      <c r="F13" t="s">
        <v>153</v>
      </c>
      <c r="G13">
        <v>11</v>
      </c>
      <c r="H13">
        <v>10</v>
      </c>
      <c r="I13">
        <v>14</v>
      </c>
      <c r="J13">
        <v>35</v>
      </c>
    </row>
    <row r="14" spans="1:17">
      <c r="F14" t="s">
        <v>154</v>
      </c>
      <c r="G14">
        <v>3.6666666666666665</v>
      </c>
      <c r="H14">
        <v>3.3333333333333335</v>
      </c>
      <c r="I14">
        <v>4.666666666666667</v>
      </c>
      <c r="J14">
        <v>3.8888888888888888</v>
      </c>
    </row>
    <row r="15" spans="1:17">
      <c r="F15" t="s">
        <v>155</v>
      </c>
      <c r="G15">
        <v>21.333333333333332</v>
      </c>
      <c r="H15">
        <v>1.3333333333333321</v>
      </c>
      <c r="I15">
        <v>16.333333333333336</v>
      </c>
      <c r="J15">
        <v>10.111111111111111</v>
      </c>
    </row>
    <row r="17" spans="6:17" ht="15" thickBot="1">
      <c r="F17" s="129" t="s">
        <v>225</v>
      </c>
      <c r="G17" s="129"/>
      <c r="H17" s="129"/>
      <c r="I17" s="129"/>
      <c r="J17" s="129"/>
    </row>
    <row r="18" spans="6:17">
      <c r="F18" t="s">
        <v>152</v>
      </c>
      <c r="G18">
        <v>3</v>
      </c>
      <c r="H18">
        <v>3</v>
      </c>
      <c r="I18">
        <v>3</v>
      </c>
      <c r="J18">
        <v>9</v>
      </c>
    </row>
    <row r="19" spans="6:17">
      <c r="F19" t="s">
        <v>153</v>
      </c>
      <c r="G19">
        <v>9</v>
      </c>
      <c r="H19">
        <v>17</v>
      </c>
      <c r="I19">
        <v>30</v>
      </c>
      <c r="J19">
        <v>56</v>
      </c>
    </row>
    <row r="20" spans="6:17">
      <c r="F20" t="s">
        <v>154</v>
      </c>
      <c r="G20">
        <v>3</v>
      </c>
      <c r="H20">
        <v>5.666666666666667</v>
      </c>
      <c r="I20">
        <v>10</v>
      </c>
      <c r="J20">
        <v>6.2222222222222223</v>
      </c>
    </row>
    <row r="21" spans="6:17">
      <c r="F21" t="s">
        <v>155</v>
      </c>
      <c r="G21">
        <v>3</v>
      </c>
      <c r="H21">
        <v>1.3333333333333357</v>
      </c>
      <c r="I21">
        <v>0</v>
      </c>
      <c r="J21">
        <v>10.444444444444443</v>
      </c>
    </row>
    <row r="23" spans="6:17" ht="15" thickBot="1">
      <c r="F23" s="129" t="s">
        <v>68</v>
      </c>
      <c r="G23" s="129"/>
      <c r="H23" s="129"/>
      <c r="I23" s="129"/>
      <c r="J23" s="129"/>
    </row>
    <row r="24" spans="6:17">
      <c r="F24" t="s">
        <v>152</v>
      </c>
      <c r="G24">
        <v>9</v>
      </c>
      <c r="H24">
        <v>9</v>
      </c>
      <c r="I24">
        <v>9</v>
      </c>
    </row>
    <row r="25" spans="6:17">
      <c r="F25" t="s">
        <v>153</v>
      </c>
      <c r="G25">
        <v>47</v>
      </c>
      <c r="H25">
        <v>49</v>
      </c>
      <c r="I25">
        <v>68</v>
      </c>
    </row>
    <row r="26" spans="6:17" ht="14.5" customHeight="1">
      <c r="F26" t="s">
        <v>154</v>
      </c>
      <c r="G26">
        <v>5.2222222222222223</v>
      </c>
      <c r="H26">
        <v>5.4444444444444446</v>
      </c>
      <c r="I26">
        <v>7.5555555555555554</v>
      </c>
      <c r="L26" s="247" t="s">
        <v>227</v>
      </c>
      <c r="M26" s="247"/>
      <c r="N26" s="247"/>
      <c r="O26" s="247"/>
      <c r="P26" s="247"/>
      <c r="Q26" s="247"/>
    </row>
    <row r="27" spans="6:17">
      <c r="F27" t="s">
        <v>155</v>
      </c>
      <c r="G27">
        <v>14.944444444444443</v>
      </c>
      <c r="H27">
        <v>9.0277777777777786</v>
      </c>
      <c r="I27">
        <v>10.277777777777771</v>
      </c>
      <c r="L27" s="247"/>
      <c r="M27" s="247"/>
      <c r="N27" s="247"/>
      <c r="O27" s="247"/>
      <c r="P27" s="247"/>
      <c r="Q27" s="247"/>
    </row>
    <row r="28" spans="6:17">
      <c r="L28" s="247"/>
      <c r="M28" s="247"/>
      <c r="N28" s="247"/>
      <c r="O28" s="247"/>
      <c r="P28" s="247"/>
      <c r="Q28" s="247"/>
    </row>
    <row r="30" spans="6:17" ht="15" thickBot="1">
      <c r="F30" t="s">
        <v>65</v>
      </c>
    </row>
    <row r="31" spans="6:17">
      <c r="F31" s="57" t="s">
        <v>156</v>
      </c>
      <c r="G31" s="57" t="s">
        <v>70</v>
      </c>
      <c r="H31" s="57" t="s">
        <v>69</v>
      </c>
      <c r="I31" s="57" t="s">
        <v>71</v>
      </c>
      <c r="J31" s="57" t="s">
        <v>19</v>
      </c>
      <c r="K31" s="57" t="s">
        <v>75</v>
      </c>
      <c r="L31" s="57" t="s">
        <v>157</v>
      </c>
    </row>
    <row r="32" spans="6:17">
      <c r="F32" t="s">
        <v>228</v>
      </c>
      <c r="G32">
        <v>80.518518518518533</v>
      </c>
      <c r="H32">
        <v>2</v>
      </c>
      <c r="I32">
        <v>40.259259259259267</v>
      </c>
      <c r="J32">
        <v>5.1273584905660385</v>
      </c>
      <c r="K32">
        <v>1.7283587505679845E-2</v>
      </c>
      <c r="L32">
        <v>3.5545571456617879</v>
      </c>
    </row>
    <row r="33" spans="1:12">
      <c r="F33" t="s">
        <v>229</v>
      </c>
      <c r="G33">
        <v>29.851851851851848</v>
      </c>
      <c r="H33">
        <v>2</v>
      </c>
      <c r="I33">
        <v>14.925925925925924</v>
      </c>
      <c r="J33">
        <v>1.9009433962264148</v>
      </c>
      <c r="K33">
        <v>0.17824026697660575</v>
      </c>
      <c r="L33">
        <v>3.5545571456617879</v>
      </c>
    </row>
    <row r="34" spans="1:12">
      <c r="F34" t="s">
        <v>230</v>
      </c>
      <c r="G34">
        <v>52.148148148148124</v>
      </c>
      <c r="H34">
        <v>4</v>
      </c>
      <c r="I34">
        <v>13.037037037037031</v>
      </c>
      <c r="J34">
        <v>1.6603773584905652</v>
      </c>
      <c r="K34">
        <v>0.20286147677651079</v>
      </c>
      <c r="L34">
        <v>2.9277441728071834</v>
      </c>
    </row>
    <row r="35" spans="1:12">
      <c r="F35" t="s">
        <v>231</v>
      </c>
      <c r="G35">
        <v>141.33333333333334</v>
      </c>
      <c r="H35">
        <v>18</v>
      </c>
      <c r="I35">
        <v>7.8518518518518521</v>
      </c>
    </row>
    <row r="37" spans="1:12" ht="15" thickBot="1">
      <c r="F37" s="56" t="s">
        <v>68</v>
      </c>
      <c r="G37" s="56">
        <v>303.85185185185185</v>
      </c>
      <c r="H37" s="56">
        <v>26</v>
      </c>
      <c r="I37" s="56"/>
      <c r="J37" s="56"/>
      <c r="K37" s="56"/>
      <c r="L37" s="56"/>
    </row>
    <row r="40" spans="1:12">
      <c r="B40" t="s">
        <v>218</v>
      </c>
      <c r="C40" t="s">
        <v>219</v>
      </c>
      <c r="D40" t="s">
        <v>220</v>
      </c>
      <c r="F40" t="s">
        <v>221</v>
      </c>
    </row>
    <row r="41" spans="1:12">
      <c r="A41" t="s">
        <v>223</v>
      </c>
      <c r="B41">
        <v>10</v>
      </c>
      <c r="C41">
        <v>10</v>
      </c>
      <c r="D41">
        <v>9</v>
      </c>
    </row>
    <row r="42" spans="1:12">
      <c r="B42">
        <v>7</v>
      </c>
      <c r="C42">
        <v>2</v>
      </c>
      <c r="D42">
        <v>6</v>
      </c>
      <c r="F42" t="s">
        <v>150</v>
      </c>
      <c r="G42" t="s">
        <v>218</v>
      </c>
      <c r="H42" t="s">
        <v>219</v>
      </c>
      <c r="I42" t="s">
        <v>220</v>
      </c>
      <c r="J42" t="s">
        <v>68</v>
      </c>
    </row>
    <row r="43" spans="1:12" ht="15" thickBot="1">
      <c r="B43">
        <v>10</v>
      </c>
      <c r="C43">
        <v>10</v>
      </c>
      <c r="D43">
        <v>9</v>
      </c>
      <c r="F43" s="129" t="s">
        <v>223</v>
      </c>
      <c r="G43" s="129"/>
      <c r="H43" s="129"/>
      <c r="I43" s="129"/>
      <c r="J43" s="129"/>
    </row>
    <row r="44" spans="1:12">
      <c r="A44" t="s">
        <v>224</v>
      </c>
      <c r="B44">
        <v>1</v>
      </c>
      <c r="C44">
        <v>4</v>
      </c>
      <c r="D44">
        <v>4</v>
      </c>
      <c r="F44" t="s">
        <v>152</v>
      </c>
      <c r="G44">
        <v>3</v>
      </c>
      <c r="H44">
        <v>3</v>
      </c>
      <c r="I44">
        <v>3</v>
      </c>
      <c r="J44">
        <v>9</v>
      </c>
    </row>
    <row r="45" spans="1:12">
      <c r="B45">
        <v>1</v>
      </c>
      <c r="C45">
        <v>2</v>
      </c>
      <c r="D45">
        <v>1</v>
      </c>
      <c r="F45" t="s">
        <v>153</v>
      </c>
      <c r="G45">
        <v>27</v>
      </c>
      <c r="H45">
        <v>22</v>
      </c>
      <c r="I45">
        <v>24</v>
      </c>
      <c r="J45">
        <v>73</v>
      </c>
    </row>
    <row r="46" spans="1:12">
      <c r="B46">
        <v>9</v>
      </c>
      <c r="C46">
        <v>4</v>
      </c>
      <c r="D46">
        <v>9</v>
      </c>
      <c r="F46" t="s">
        <v>154</v>
      </c>
      <c r="G46">
        <v>9</v>
      </c>
      <c r="H46">
        <v>7.333333333333333</v>
      </c>
      <c r="I46">
        <v>8</v>
      </c>
      <c r="J46">
        <v>8.1111111111111107</v>
      </c>
    </row>
    <row r="47" spans="1:12">
      <c r="A47" t="s">
        <v>225</v>
      </c>
      <c r="B47">
        <v>1</v>
      </c>
      <c r="C47">
        <v>5</v>
      </c>
      <c r="D47">
        <v>10</v>
      </c>
      <c r="F47" t="s">
        <v>155</v>
      </c>
      <c r="G47">
        <v>3</v>
      </c>
      <c r="H47">
        <v>21.333333333333329</v>
      </c>
      <c r="I47">
        <v>3</v>
      </c>
      <c r="J47">
        <v>7.3611111111111143</v>
      </c>
    </row>
    <row r="48" spans="1:12">
      <c r="B48">
        <v>4</v>
      </c>
      <c r="C48">
        <v>7</v>
      </c>
      <c r="D48">
        <v>10</v>
      </c>
    </row>
    <row r="49" spans="2:10" ht="15" thickBot="1">
      <c r="B49">
        <v>4</v>
      </c>
      <c r="C49">
        <v>5</v>
      </c>
      <c r="D49">
        <v>10</v>
      </c>
      <c r="F49" s="129" t="s">
        <v>224</v>
      </c>
      <c r="G49" s="129"/>
      <c r="H49" s="129"/>
      <c r="I49" s="129"/>
      <c r="J49" s="129"/>
    </row>
    <row r="50" spans="2:10">
      <c r="F50" t="s">
        <v>152</v>
      </c>
      <c r="G50">
        <v>3</v>
      </c>
      <c r="H50">
        <v>3</v>
      </c>
      <c r="I50">
        <v>3</v>
      </c>
      <c r="J50">
        <v>9</v>
      </c>
    </row>
    <row r="51" spans="2:10">
      <c r="F51" t="s">
        <v>153</v>
      </c>
      <c r="G51">
        <v>11</v>
      </c>
      <c r="H51">
        <v>10</v>
      </c>
      <c r="I51">
        <v>14</v>
      </c>
      <c r="J51">
        <v>35</v>
      </c>
    </row>
    <row r="52" spans="2:10">
      <c r="F52" t="s">
        <v>154</v>
      </c>
      <c r="G52">
        <v>3.6666666666666665</v>
      </c>
      <c r="H52">
        <v>3.3333333333333335</v>
      </c>
      <c r="I52">
        <v>4.666666666666667</v>
      </c>
      <c r="J52">
        <v>3.8888888888888888</v>
      </c>
    </row>
    <row r="53" spans="2:10">
      <c r="F53" t="s">
        <v>155</v>
      </c>
      <c r="G53">
        <v>21.333333333333332</v>
      </c>
      <c r="H53">
        <v>1.3333333333333321</v>
      </c>
      <c r="I53">
        <v>16.333333333333336</v>
      </c>
      <c r="J53">
        <v>10.111111111111111</v>
      </c>
    </row>
    <row r="55" spans="2:10" ht="15" thickBot="1">
      <c r="F55" s="129" t="s">
        <v>225</v>
      </c>
      <c r="G55" s="129"/>
      <c r="H55" s="129"/>
      <c r="I55" s="129"/>
      <c r="J55" s="129"/>
    </row>
    <row r="56" spans="2:10">
      <c r="F56" t="s">
        <v>152</v>
      </c>
      <c r="G56">
        <v>3</v>
      </c>
      <c r="H56">
        <v>3</v>
      </c>
      <c r="I56">
        <v>3</v>
      </c>
      <c r="J56">
        <v>9</v>
      </c>
    </row>
    <row r="57" spans="2:10">
      <c r="F57" t="s">
        <v>153</v>
      </c>
      <c r="G57">
        <v>9</v>
      </c>
      <c r="H57">
        <v>17</v>
      </c>
      <c r="I57">
        <v>30</v>
      </c>
      <c r="J57">
        <v>56</v>
      </c>
    </row>
    <row r="58" spans="2:10">
      <c r="F58" t="s">
        <v>154</v>
      </c>
      <c r="G58">
        <v>3</v>
      </c>
      <c r="H58">
        <v>5.666666666666667</v>
      </c>
      <c r="I58">
        <v>10</v>
      </c>
      <c r="J58">
        <v>6.2222222222222223</v>
      </c>
    </row>
    <row r="59" spans="2:10">
      <c r="F59" t="s">
        <v>155</v>
      </c>
      <c r="G59">
        <v>3</v>
      </c>
      <c r="H59">
        <v>1.3333333333333357</v>
      </c>
      <c r="I59">
        <v>0</v>
      </c>
      <c r="J59">
        <v>10.444444444444443</v>
      </c>
    </row>
    <row r="61" spans="2:10" ht="15" thickBot="1">
      <c r="F61" s="129" t="s">
        <v>68</v>
      </c>
      <c r="G61" s="129"/>
      <c r="H61" s="129"/>
      <c r="I61" s="129"/>
      <c r="J61" s="129"/>
    </row>
    <row r="62" spans="2:10">
      <c r="F62" t="s">
        <v>152</v>
      </c>
      <c r="G62">
        <v>9</v>
      </c>
      <c r="H62">
        <v>9</v>
      </c>
      <c r="I62">
        <v>9</v>
      </c>
    </row>
    <row r="63" spans="2:10">
      <c r="F63" t="s">
        <v>153</v>
      </c>
      <c r="G63">
        <v>47</v>
      </c>
      <c r="H63">
        <v>49</v>
      </c>
      <c r="I63">
        <v>68</v>
      </c>
    </row>
    <row r="64" spans="2:10">
      <c r="F64" t="s">
        <v>154</v>
      </c>
      <c r="G64">
        <v>5.2222222222222223</v>
      </c>
      <c r="H64">
        <v>5.4444444444444446</v>
      </c>
      <c r="I64">
        <v>7.5555555555555554</v>
      </c>
    </row>
    <row r="65" spans="6:12">
      <c r="F65" t="s">
        <v>155</v>
      </c>
      <c r="G65">
        <v>14.944444444444443</v>
      </c>
      <c r="H65">
        <v>9.0277777777777786</v>
      </c>
      <c r="I65">
        <v>10.277777777777771</v>
      </c>
    </row>
    <row r="68" spans="6:12" ht="15" thickBot="1">
      <c r="F68" t="s">
        <v>65</v>
      </c>
    </row>
    <row r="69" spans="6:12">
      <c r="F69" s="57" t="s">
        <v>156</v>
      </c>
      <c r="G69" s="57" t="s">
        <v>70</v>
      </c>
      <c r="H69" s="57" t="s">
        <v>69</v>
      </c>
      <c r="I69" s="57" t="s">
        <v>71</v>
      </c>
      <c r="J69" s="57" t="s">
        <v>19</v>
      </c>
      <c r="K69" s="57" t="s">
        <v>75</v>
      </c>
      <c r="L69" s="57" t="s">
        <v>157</v>
      </c>
    </row>
    <row r="70" spans="6:12">
      <c r="F70" t="s">
        <v>228</v>
      </c>
      <c r="G70">
        <v>80.518518518518533</v>
      </c>
      <c r="H70">
        <v>2</v>
      </c>
      <c r="I70">
        <v>40.259259259259267</v>
      </c>
      <c r="J70">
        <v>5.1273584905660385</v>
      </c>
      <c r="K70">
        <v>1.7283587505679845E-2</v>
      </c>
      <c r="L70">
        <v>3.5545571456617879</v>
      </c>
    </row>
    <row r="71" spans="6:12">
      <c r="F71" t="s">
        <v>229</v>
      </c>
      <c r="G71">
        <v>29.851851851851848</v>
      </c>
      <c r="H71">
        <v>2</v>
      </c>
      <c r="I71">
        <v>14.925925925925924</v>
      </c>
      <c r="J71">
        <v>1.9009433962264148</v>
      </c>
      <c r="K71">
        <v>0.17824026697660575</v>
      </c>
      <c r="L71">
        <v>3.5545571456617879</v>
      </c>
    </row>
    <row r="72" spans="6:12">
      <c r="F72" t="s">
        <v>230</v>
      </c>
      <c r="G72">
        <v>52.148148148148124</v>
      </c>
      <c r="H72">
        <v>4</v>
      </c>
      <c r="I72">
        <v>13.037037037037031</v>
      </c>
      <c r="J72">
        <v>1.6603773584905652</v>
      </c>
      <c r="K72">
        <v>0.20286147677651079</v>
      </c>
      <c r="L72">
        <v>2.9277441728071834</v>
      </c>
    </row>
    <row r="73" spans="6:12">
      <c r="F73" t="s">
        <v>231</v>
      </c>
      <c r="G73">
        <v>141.33333333333334</v>
      </c>
      <c r="H73">
        <v>18</v>
      </c>
      <c r="I73">
        <v>7.8518518518518521</v>
      </c>
    </row>
    <row r="75" spans="6:12" ht="15" thickBot="1">
      <c r="F75" s="56" t="s">
        <v>68</v>
      </c>
      <c r="G75" s="56">
        <v>303.85185185185185</v>
      </c>
      <c r="H75" s="56">
        <v>26</v>
      </c>
      <c r="I75" s="56"/>
      <c r="J75" s="56"/>
      <c r="K75" s="56"/>
      <c r="L75" s="56"/>
    </row>
  </sheetData>
  <mergeCells count="4">
    <mergeCell ref="A1:D1"/>
    <mergeCell ref="L2:Q3"/>
    <mergeCell ref="L10:Q11"/>
    <mergeCell ref="L26:Q28"/>
  </mergeCells>
  <pageMargins left="0.7" right="0.7" top="0.75" bottom="0.75" header="0.3" footer="0.3"/>
  <pageSetup paperSize="9" orientation="portrait" horizontalDpi="30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DE440-BE84-4D5E-9A6C-F50A0E488B1B}">
  <dimension ref="A1:U54"/>
  <sheetViews>
    <sheetView zoomScale="80" zoomScaleNormal="80" workbookViewId="0">
      <selection activeCell="K16" sqref="K16:K21"/>
    </sheetView>
  </sheetViews>
  <sheetFormatPr defaultRowHeight="12.5"/>
  <cols>
    <col min="1" max="1" width="11.54296875" style="6" customWidth="1"/>
    <col min="2" max="2" width="12" style="6" bestFit="1" customWidth="1"/>
    <col min="3" max="3" width="11" style="6" customWidth="1"/>
    <col min="4" max="4" width="11.54296875" style="6" customWidth="1"/>
    <col min="5" max="5" width="9.453125" style="6" bestFit="1" customWidth="1"/>
    <col min="6" max="6" width="8.7265625" style="6"/>
    <col min="7" max="8" width="12" style="6" bestFit="1" customWidth="1"/>
    <col min="9" max="9" width="10.26953125" style="6" bestFit="1" customWidth="1"/>
    <col min="10" max="10" width="12" style="6" bestFit="1" customWidth="1"/>
    <col min="11" max="11" width="9.453125" style="6" bestFit="1" customWidth="1"/>
    <col min="12" max="12" width="12" style="6" bestFit="1" customWidth="1"/>
    <col min="13" max="13" width="14.1796875" style="6" bestFit="1" customWidth="1"/>
    <col min="14" max="14" width="16.08984375" style="6" bestFit="1" customWidth="1"/>
    <col min="15" max="15" width="15.81640625" style="6" bestFit="1" customWidth="1"/>
    <col min="16" max="16" width="6.26953125" style="6" bestFit="1" customWidth="1"/>
    <col min="17" max="17" width="9.08984375" style="6" bestFit="1" customWidth="1"/>
    <col min="18" max="18" width="10" style="6" bestFit="1" customWidth="1"/>
    <col min="19" max="241" width="8.7265625" style="6"/>
    <col min="242" max="242" width="10.54296875" style="6" customWidth="1"/>
    <col min="243" max="243" width="12" style="6" bestFit="1" customWidth="1"/>
    <col min="244" max="244" width="11" style="6" customWidth="1"/>
    <col min="245" max="245" width="11.54296875" style="6" customWidth="1"/>
    <col min="246" max="248" width="8.7265625" style="6"/>
    <col min="249" max="249" width="9.81640625" style="6" bestFit="1" customWidth="1"/>
    <col min="250" max="497" width="8.7265625" style="6"/>
    <col min="498" max="498" width="10.54296875" style="6" customWidth="1"/>
    <col min="499" max="499" width="12" style="6" bestFit="1" customWidth="1"/>
    <col min="500" max="500" width="11" style="6" customWidth="1"/>
    <col min="501" max="501" width="11.54296875" style="6" customWidth="1"/>
    <col min="502" max="504" width="8.7265625" style="6"/>
    <col min="505" max="505" width="9.81640625" style="6" bestFit="1" customWidth="1"/>
    <col min="506" max="753" width="8.7265625" style="6"/>
    <col min="754" max="754" width="10.54296875" style="6" customWidth="1"/>
    <col min="755" max="755" width="12" style="6" bestFit="1" customWidth="1"/>
    <col min="756" max="756" width="11" style="6" customWidth="1"/>
    <col min="757" max="757" width="11.54296875" style="6" customWidth="1"/>
    <col min="758" max="760" width="8.7265625" style="6"/>
    <col min="761" max="761" width="9.81640625" style="6" bestFit="1" customWidth="1"/>
    <col min="762" max="1009" width="8.7265625" style="6"/>
    <col min="1010" max="1010" width="10.54296875" style="6" customWidth="1"/>
    <col min="1011" max="1011" width="12" style="6" bestFit="1" customWidth="1"/>
    <col min="1012" max="1012" width="11" style="6" customWidth="1"/>
    <col min="1013" max="1013" width="11.54296875" style="6" customWidth="1"/>
    <col min="1014" max="1016" width="8.7265625" style="6"/>
    <col min="1017" max="1017" width="9.81640625" style="6" bestFit="1" customWidth="1"/>
    <col min="1018" max="1265" width="8.7265625" style="6"/>
    <col min="1266" max="1266" width="10.54296875" style="6" customWidth="1"/>
    <col min="1267" max="1267" width="12" style="6" bestFit="1" customWidth="1"/>
    <col min="1268" max="1268" width="11" style="6" customWidth="1"/>
    <col min="1269" max="1269" width="11.54296875" style="6" customWidth="1"/>
    <col min="1270" max="1272" width="8.7265625" style="6"/>
    <col min="1273" max="1273" width="9.81640625" style="6" bestFit="1" customWidth="1"/>
    <col min="1274" max="1521" width="8.7265625" style="6"/>
    <col min="1522" max="1522" width="10.54296875" style="6" customWidth="1"/>
    <col min="1523" max="1523" width="12" style="6" bestFit="1" customWidth="1"/>
    <col min="1524" max="1524" width="11" style="6" customWidth="1"/>
    <col min="1525" max="1525" width="11.54296875" style="6" customWidth="1"/>
    <col min="1526" max="1528" width="8.7265625" style="6"/>
    <col min="1529" max="1529" width="9.81640625" style="6" bestFit="1" customWidth="1"/>
    <col min="1530" max="1777" width="8.7265625" style="6"/>
    <col min="1778" max="1778" width="10.54296875" style="6" customWidth="1"/>
    <col min="1779" max="1779" width="12" style="6" bestFit="1" customWidth="1"/>
    <col min="1780" max="1780" width="11" style="6" customWidth="1"/>
    <col min="1781" max="1781" width="11.54296875" style="6" customWidth="1"/>
    <col min="1782" max="1784" width="8.7265625" style="6"/>
    <col min="1785" max="1785" width="9.81640625" style="6" bestFit="1" customWidth="1"/>
    <col min="1786" max="2033" width="8.7265625" style="6"/>
    <col min="2034" max="2034" width="10.54296875" style="6" customWidth="1"/>
    <col min="2035" max="2035" width="12" style="6" bestFit="1" customWidth="1"/>
    <col min="2036" max="2036" width="11" style="6" customWidth="1"/>
    <col min="2037" max="2037" width="11.54296875" style="6" customWidth="1"/>
    <col min="2038" max="2040" width="8.7265625" style="6"/>
    <col min="2041" max="2041" width="9.81640625" style="6" bestFit="1" customWidth="1"/>
    <col min="2042" max="2289" width="8.7265625" style="6"/>
    <col min="2290" max="2290" width="10.54296875" style="6" customWidth="1"/>
    <col min="2291" max="2291" width="12" style="6" bestFit="1" customWidth="1"/>
    <col min="2292" max="2292" width="11" style="6" customWidth="1"/>
    <col min="2293" max="2293" width="11.54296875" style="6" customWidth="1"/>
    <col min="2294" max="2296" width="8.7265625" style="6"/>
    <col min="2297" max="2297" width="9.81640625" style="6" bestFit="1" customWidth="1"/>
    <col min="2298" max="2545" width="8.7265625" style="6"/>
    <col min="2546" max="2546" width="10.54296875" style="6" customWidth="1"/>
    <col min="2547" max="2547" width="12" style="6" bestFit="1" customWidth="1"/>
    <col min="2548" max="2548" width="11" style="6" customWidth="1"/>
    <col min="2549" max="2549" width="11.54296875" style="6" customWidth="1"/>
    <col min="2550" max="2552" width="8.7265625" style="6"/>
    <col min="2553" max="2553" width="9.81640625" style="6" bestFit="1" customWidth="1"/>
    <col min="2554" max="2801" width="8.7265625" style="6"/>
    <col min="2802" max="2802" width="10.54296875" style="6" customWidth="1"/>
    <col min="2803" max="2803" width="12" style="6" bestFit="1" customWidth="1"/>
    <col min="2804" max="2804" width="11" style="6" customWidth="1"/>
    <col min="2805" max="2805" width="11.54296875" style="6" customWidth="1"/>
    <col min="2806" max="2808" width="8.7265625" style="6"/>
    <col min="2809" max="2809" width="9.81640625" style="6" bestFit="1" customWidth="1"/>
    <col min="2810" max="3057" width="8.7265625" style="6"/>
    <col min="3058" max="3058" width="10.54296875" style="6" customWidth="1"/>
    <col min="3059" max="3059" width="12" style="6" bestFit="1" customWidth="1"/>
    <col min="3060" max="3060" width="11" style="6" customWidth="1"/>
    <col min="3061" max="3061" width="11.54296875" style="6" customWidth="1"/>
    <col min="3062" max="3064" width="8.7265625" style="6"/>
    <col min="3065" max="3065" width="9.81640625" style="6" bestFit="1" customWidth="1"/>
    <col min="3066" max="3313" width="8.7265625" style="6"/>
    <col min="3314" max="3314" width="10.54296875" style="6" customWidth="1"/>
    <col min="3315" max="3315" width="12" style="6" bestFit="1" customWidth="1"/>
    <col min="3316" max="3316" width="11" style="6" customWidth="1"/>
    <col min="3317" max="3317" width="11.54296875" style="6" customWidth="1"/>
    <col min="3318" max="3320" width="8.7265625" style="6"/>
    <col min="3321" max="3321" width="9.81640625" style="6" bestFit="1" customWidth="1"/>
    <col min="3322" max="3569" width="8.7265625" style="6"/>
    <col min="3570" max="3570" width="10.54296875" style="6" customWidth="1"/>
    <col min="3571" max="3571" width="12" style="6" bestFit="1" customWidth="1"/>
    <col min="3572" max="3572" width="11" style="6" customWidth="1"/>
    <col min="3573" max="3573" width="11.54296875" style="6" customWidth="1"/>
    <col min="3574" max="3576" width="8.7265625" style="6"/>
    <col min="3577" max="3577" width="9.81640625" style="6" bestFit="1" customWidth="1"/>
    <col min="3578" max="3825" width="8.7265625" style="6"/>
    <col min="3826" max="3826" width="10.54296875" style="6" customWidth="1"/>
    <col min="3827" max="3827" width="12" style="6" bestFit="1" customWidth="1"/>
    <col min="3828" max="3828" width="11" style="6" customWidth="1"/>
    <col min="3829" max="3829" width="11.54296875" style="6" customWidth="1"/>
    <col min="3830" max="3832" width="8.7265625" style="6"/>
    <col min="3833" max="3833" width="9.81640625" style="6" bestFit="1" customWidth="1"/>
    <col min="3834" max="4081" width="8.7265625" style="6"/>
    <col min="4082" max="4082" width="10.54296875" style="6" customWidth="1"/>
    <col min="4083" max="4083" width="12" style="6" bestFit="1" customWidth="1"/>
    <col min="4084" max="4084" width="11" style="6" customWidth="1"/>
    <col min="4085" max="4085" width="11.54296875" style="6" customWidth="1"/>
    <col min="4086" max="4088" width="8.7265625" style="6"/>
    <col min="4089" max="4089" width="9.81640625" style="6" bestFit="1" customWidth="1"/>
    <col min="4090" max="4337" width="8.7265625" style="6"/>
    <col min="4338" max="4338" width="10.54296875" style="6" customWidth="1"/>
    <col min="4339" max="4339" width="12" style="6" bestFit="1" customWidth="1"/>
    <col min="4340" max="4340" width="11" style="6" customWidth="1"/>
    <col min="4341" max="4341" width="11.54296875" style="6" customWidth="1"/>
    <col min="4342" max="4344" width="8.7265625" style="6"/>
    <col min="4345" max="4345" width="9.81640625" style="6" bestFit="1" customWidth="1"/>
    <col min="4346" max="4593" width="8.7265625" style="6"/>
    <col min="4594" max="4594" width="10.54296875" style="6" customWidth="1"/>
    <col min="4595" max="4595" width="12" style="6" bestFit="1" customWidth="1"/>
    <col min="4596" max="4596" width="11" style="6" customWidth="1"/>
    <col min="4597" max="4597" width="11.54296875" style="6" customWidth="1"/>
    <col min="4598" max="4600" width="8.7265625" style="6"/>
    <col min="4601" max="4601" width="9.81640625" style="6" bestFit="1" customWidth="1"/>
    <col min="4602" max="4849" width="8.7265625" style="6"/>
    <col min="4850" max="4850" width="10.54296875" style="6" customWidth="1"/>
    <col min="4851" max="4851" width="12" style="6" bestFit="1" customWidth="1"/>
    <col min="4852" max="4852" width="11" style="6" customWidth="1"/>
    <col min="4853" max="4853" width="11.54296875" style="6" customWidth="1"/>
    <col min="4854" max="4856" width="8.7265625" style="6"/>
    <col min="4857" max="4857" width="9.81640625" style="6" bestFit="1" customWidth="1"/>
    <col min="4858" max="5105" width="8.7265625" style="6"/>
    <col min="5106" max="5106" width="10.54296875" style="6" customWidth="1"/>
    <col min="5107" max="5107" width="12" style="6" bestFit="1" customWidth="1"/>
    <col min="5108" max="5108" width="11" style="6" customWidth="1"/>
    <col min="5109" max="5109" width="11.54296875" style="6" customWidth="1"/>
    <col min="5110" max="5112" width="8.7265625" style="6"/>
    <col min="5113" max="5113" width="9.81640625" style="6" bestFit="1" customWidth="1"/>
    <col min="5114" max="5361" width="8.7265625" style="6"/>
    <col min="5362" max="5362" width="10.54296875" style="6" customWidth="1"/>
    <col min="5363" max="5363" width="12" style="6" bestFit="1" customWidth="1"/>
    <col min="5364" max="5364" width="11" style="6" customWidth="1"/>
    <col min="5365" max="5365" width="11.54296875" style="6" customWidth="1"/>
    <col min="5366" max="5368" width="8.7265625" style="6"/>
    <col min="5369" max="5369" width="9.81640625" style="6" bestFit="1" customWidth="1"/>
    <col min="5370" max="5617" width="8.7265625" style="6"/>
    <col min="5618" max="5618" width="10.54296875" style="6" customWidth="1"/>
    <col min="5619" max="5619" width="12" style="6" bestFit="1" customWidth="1"/>
    <col min="5620" max="5620" width="11" style="6" customWidth="1"/>
    <col min="5621" max="5621" width="11.54296875" style="6" customWidth="1"/>
    <col min="5622" max="5624" width="8.7265625" style="6"/>
    <col min="5625" max="5625" width="9.81640625" style="6" bestFit="1" customWidth="1"/>
    <col min="5626" max="5873" width="8.7265625" style="6"/>
    <col min="5874" max="5874" width="10.54296875" style="6" customWidth="1"/>
    <col min="5875" max="5875" width="12" style="6" bestFit="1" customWidth="1"/>
    <col min="5876" max="5876" width="11" style="6" customWidth="1"/>
    <col min="5877" max="5877" width="11.54296875" style="6" customWidth="1"/>
    <col min="5878" max="5880" width="8.7265625" style="6"/>
    <col min="5881" max="5881" width="9.81640625" style="6" bestFit="1" customWidth="1"/>
    <col min="5882" max="6129" width="8.7265625" style="6"/>
    <col min="6130" max="6130" width="10.54296875" style="6" customWidth="1"/>
    <col min="6131" max="6131" width="12" style="6" bestFit="1" customWidth="1"/>
    <col min="6132" max="6132" width="11" style="6" customWidth="1"/>
    <col min="6133" max="6133" width="11.54296875" style="6" customWidth="1"/>
    <col min="6134" max="6136" width="8.7265625" style="6"/>
    <col min="6137" max="6137" width="9.81640625" style="6" bestFit="1" customWidth="1"/>
    <col min="6138" max="6385" width="8.7265625" style="6"/>
    <col min="6386" max="6386" width="10.54296875" style="6" customWidth="1"/>
    <col min="6387" max="6387" width="12" style="6" bestFit="1" customWidth="1"/>
    <col min="6388" max="6388" width="11" style="6" customWidth="1"/>
    <col min="6389" max="6389" width="11.54296875" style="6" customWidth="1"/>
    <col min="6390" max="6392" width="8.7265625" style="6"/>
    <col min="6393" max="6393" width="9.81640625" style="6" bestFit="1" customWidth="1"/>
    <col min="6394" max="6641" width="8.7265625" style="6"/>
    <col min="6642" max="6642" width="10.54296875" style="6" customWidth="1"/>
    <col min="6643" max="6643" width="12" style="6" bestFit="1" customWidth="1"/>
    <col min="6644" max="6644" width="11" style="6" customWidth="1"/>
    <col min="6645" max="6645" width="11.54296875" style="6" customWidth="1"/>
    <col min="6646" max="6648" width="8.7265625" style="6"/>
    <col min="6649" max="6649" width="9.81640625" style="6" bestFit="1" customWidth="1"/>
    <col min="6650" max="6897" width="8.7265625" style="6"/>
    <col min="6898" max="6898" width="10.54296875" style="6" customWidth="1"/>
    <col min="6899" max="6899" width="12" style="6" bestFit="1" customWidth="1"/>
    <col min="6900" max="6900" width="11" style="6" customWidth="1"/>
    <col min="6901" max="6901" width="11.54296875" style="6" customWidth="1"/>
    <col min="6902" max="6904" width="8.7265625" style="6"/>
    <col min="6905" max="6905" width="9.81640625" style="6" bestFit="1" customWidth="1"/>
    <col min="6906" max="7153" width="8.7265625" style="6"/>
    <col min="7154" max="7154" width="10.54296875" style="6" customWidth="1"/>
    <col min="7155" max="7155" width="12" style="6" bestFit="1" customWidth="1"/>
    <col min="7156" max="7156" width="11" style="6" customWidth="1"/>
    <col min="7157" max="7157" width="11.54296875" style="6" customWidth="1"/>
    <col min="7158" max="7160" width="8.7265625" style="6"/>
    <col min="7161" max="7161" width="9.81640625" style="6" bestFit="1" customWidth="1"/>
    <col min="7162" max="7409" width="8.7265625" style="6"/>
    <col min="7410" max="7410" width="10.54296875" style="6" customWidth="1"/>
    <col min="7411" max="7411" width="12" style="6" bestFit="1" customWidth="1"/>
    <col min="7412" max="7412" width="11" style="6" customWidth="1"/>
    <col min="7413" max="7413" width="11.54296875" style="6" customWidth="1"/>
    <col min="7414" max="7416" width="8.7265625" style="6"/>
    <col min="7417" max="7417" width="9.81640625" style="6" bestFit="1" customWidth="1"/>
    <col min="7418" max="7665" width="8.7265625" style="6"/>
    <col min="7666" max="7666" width="10.54296875" style="6" customWidth="1"/>
    <col min="7667" max="7667" width="12" style="6" bestFit="1" customWidth="1"/>
    <col min="7668" max="7668" width="11" style="6" customWidth="1"/>
    <col min="7669" max="7669" width="11.54296875" style="6" customWidth="1"/>
    <col min="7670" max="7672" width="8.7265625" style="6"/>
    <col min="7673" max="7673" width="9.81640625" style="6" bestFit="1" customWidth="1"/>
    <col min="7674" max="7921" width="8.7265625" style="6"/>
    <col min="7922" max="7922" width="10.54296875" style="6" customWidth="1"/>
    <col min="7923" max="7923" width="12" style="6" bestFit="1" customWidth="1"/>
    <col min="7924" max="7924" width="11" style="6" customWidth="1"/>
    <col min="7925" max="7925" width="11.54296875" style="6" customWidth="1"/>
    <col min="7926" max="7928" width="8.7265625" style="6"/>
    <col min="7929" max="7929" width="9.81640625" style="6" bestFit="1" customWidth="1"/>
    <col min="7930" max="8177" width="8.7265625" style="6"/>
    <col min="8178" max="8178" width="10.54296875" style="6" customWidth="1"/>
    <col min="8179" max="8179" width="12" style="6" bestFit="1" customWidth="1"/>
    <col min="8180" max="8180" width="11" style="6" customWidth="1"/>
    <col min="8181" max="8181" width="11.54296875" style="6" customWidth="1"/>
    <col min="8182" max="8184" width="8.7265625" style="6"/>
    <col min="8185" max="8185" width="9.81640625" style="6" bestFit="1" customWidth="1"/>
    <col min="8186" max="8433" width="8.7265625" style="6"/>
    <col min="8434" max="8434" width="10.54296875" style="6" customWidth="1"/>
    <col min="8435" max="8435" width="12" style="6" bestFit="1" customWidth="1"/>
    <col min="8436" max="8436" width="11" style="6" customWidth="1"/>
    <col min="8437" max="8437" width="11.54296875" style="6" customWidth="1"/>
    <col min="8438" max="8440" width="8.7265625" style="6"/>
    <col min="8441" max="8441" width="9.81640625" style="6" bestFit="1" customWidth="1"/>
    <col min="8442" max="8689" width="8.7265625" style="6"/>
    <col min="8690" max="8690" width="10.54296875" style="6" customWidth="1"/>
    <col min="8691" max="8691" width="12" style="6" bestFit="1" customWidth="1"/>
    <col min="8692" max="8692" width="11" style="6" customWidth="1"/>
    <col min="8693" max="8693" width="11.54296875" style="6" customWidth="1"/>
    <col min="8694" max="8696" width="8.7265625" style="6"/>
    <col min="8697" max="8697" width="9.81640625" style="6" bestFit="1" customWidth="1"/>
    <col min="8698" max="8945" width="8.7265625" style="6"/>
    <col min="8946" max="8946" width="10.54296875" style="6" customWidth="1"/>
    <col min="8947" max="8947" width="12" style="6" bestFit="1" customWidth="1"/>
    <col min="8948" max="8948" width="11" style="6" customWidth="1"/>
    <col min="8949" max="8949" width="11.54296875" style="6" customWidth="1"/>
    <col min="8950" max="8952" width="8.7265625" style="6"/>
    <col min="8953" max="8953" width="9.81640625" style="6" bestFit="1" customWidth="1"/>
    <col min="8954" max="9201" width="8.7265625" style="6"/>
    <col min="9202" max="9202" width="10.54296875" style="6" customWidth="1"/>
    <col min="9203" max="9203" width="12" style="6" bestFit="1" customWidth="1"/>
    <col min="9204" max="9204" width="11" style="6" customWidth="1"/>
    <col min="9205" max="9205" width="11.54296875" style="6" customWidth="1"/>
    <col min="9206" max="9208" width="8.7265625" style="6"/>
    <col min="9209" max="9209" width="9.81640625" style="6" bestFit="1" customWidth="1"/>
    <col min="9210" max="9457" width="8.7265625" style="6"/>
    <col min="9458" max="9458" width="10.54296875" style="6" customWidth="1"/>
    <col min="9459" max="9459" width="12" style="6" bestFit="1" customWidth="1"/>
    <col min="9460" max="9460" width="11" style="6" customWidth="1"/>
    <col min="9461" max="9461" width="11.54296875" style="6" customWidth="1"/>
    <col min="9462" max="9464" width="8.7265625" style="6"/>
    <col min="9465" max="9465" width="9.81640625" style="6" bestFit="1" customWidth="1"/>
    <col min="9466" max="9713" width="8.7265625" style="6"/>
    <col min="9714" max="9714" width="10.54296875" style="6" customWidth="1"/>
    <col min="9715" max="9715" width="12" style="6" bestFit="1" customWidth="1"/>
    <col min="9716" max="9716" width="11" style="6" customWidth="1"/>
    <col min="9717" max="9717" width="11.54296875" style="6" customWidth="1"/>
    <col min="9718" max="9720" width="8.7265625" style="6"/>
    <col min="9721" max="9721" width="9.81640625" style="6" bestFit="1" customWidth="1"/>
    <col min="9722" max="9969" width="8.7265625" style="6"/>
    <col min="9970" max="9970" width="10.54296875" style="6" customWidth="1"/>
    <col min="9971" max="9971" width="12" style="6" bestFit="1" customWidth="1"/>
    <col min="9972" max="9972" width="11" style="6" customWidth="1"/>
    <col min="9973" max="9973" width="11.54296875" style="6" customWidth="1"/>
    <col min="9974" max="9976" width="8.7265625" style="6"/>
    <col min="9977" max="9977" width="9.81640625" style="6" bestFit="1" customWidth="1"/>
    <col min="9978" max="10225" width="8.7265625" style="6"/>
    <col min="10226" max="10226" width="10.54296875" style="6" customWidth="1"/>
    <col min="10227" max="10227" width="12" style="6" bestFit="1" customWidth="1"/>
    <col min="10228" max="10228" width="11" style="6" customWidth="1"/>
    <col min="10229" max="10229" width="11.54296875" style="6" customWidth="1"/>
    <col min="10230" max="10232" width="8.7265625" style="6"/>
    <col min="10233" max="10233" width="9.81640625" style="6" bestFit="1" customWidth="1"/>
    <col min="10234" max="10481" width="8.7265625" style="6"/>
    <col min="10482" max="10482" width="10.54296875" style="6" customWidth="1"/>
    <col min="10483" max="10483" width="12" style="6" bestFit="1" customWidth="1"/>
    <col min="10484" max="10484" width="11" style="6" customWidth="1"/>
    <col min="10485" max="10485" width="11.54296875" style="6" customWidth="1"/>
    <col min="10486" max="10488" width="8.7265625" style="6"/>
    <col min="10489" max="10489" width="9.81640625" style="6" bestFit="1" customWidth="1"/>
    <col min="10490" max="10737" width="8.7265625" style="6"/>
    <col min="10738" max="10738" width="10.54296875" style="6" customWidth="1"/>
    <col min="10739" max="10739" width="12" style="6" bestFit="1" customWidth="1"/>
    <col min="10740" max="10740" width="11" style="6" customWidth="1"/>
    <col min="10741" max="10741" width="11.54296875" style="6" customWidth="1"/>
    <col min="10742" max="10744" width="8.7265625" style="6"/>
    <col min="10745" max="10745" width="9.81640625" style="6" bestFit="1" customWidth="1"/>
    <col min="10746" max="10993" width="8.7265625" style="6"/>
    <col min="10994" max="10994" width="10.54296875" style="6" customWidth="1"/>
    <col min="10995" max="10995" width="12" style="6" bestFit="1" customWidth="1"/>
    <col min="10996" max="10996" width="11" style="6" customWidth="1"/>
    <col min="10997" max="10997" width="11.54296875" style="6" customWidth="1"/>
    <col min="10998" max="11000" width="8.7265625" style="6"/>
    <col min="11001" max="11001" width="9.81640625" style="6" bestFit="1" customWidth="1"/>
    <col min="11002" max="11249" width="8.7265625" style="6"/>
    <col min="11250" max="11250" width="10.54296875" style="6" customWidth="1"/>
    <col min="11251" max="11251" width="12" style="6" bestFit="1" customWidth="1"/>
    <col min="11252" max="11252" width="11" style="6" customWidth="1"/>
    <col min="11253" max="11253" width="11.54296875" style="6" customWidth="1"/>
    <col min="11254" max="11256" width="8.7265625" style="6"/>
    <col min="11257" max="11257" width="9.81640625" style="6" bestFit="1" customWidth="1"/>
    <col min="11258" max="11505" width="8.7265625" style="6"/>
    <col min="11506" max="11506" width="10.54296875" style="6" customWidth="1"/>
    <col min="11507" max="11507" width="12" style="6" bestFit="1" customWidth="1"/>
    <col min="11508" max="11508" width="11" style="6" customWidth="1"/>
    <col min="11509" max="11509" width="11.54296875" style="6" customWidth="1"/>
    <col min="11510" max="11512" width="8.7265625" style="6"/>
    <col min="11513" max="11513" width="9.81640625" style="6" bestFit="1" customWidth="1"/>
    <col min="11514" max="11761" width="8.7265625" style="6"/>
    <col min="11762" max="11762" width="10.54296875" style="6" customWidth="1"/>
    <col min="11763" max="11763" width="12" style="6" bestFit="1" customWidth="1"/>
    <col min="11764" max="11764" width="11" style="6" customWidth="1"/>
    <col min="11765" max="11765" width="11.54296875" style="6" customWidth="1"/>
    <col min="11766" max="11768" width="8.7265625" style="6"/>
    <col min="11769" max="11769" width="9.81640625" style="6" bestFit="1" customWidth="1"/>
    <col min="11770" max="12017" width="8.7265625" style="6"/>
    <col min="12018" max="12018" width="10.54296875" style="6" customWidth="1"/>
    <col min="12019" max="12019" width="12" style="6" bestFit="1" customWidth="1"/>
    <col min="12020" max="12020" width="11" style="6" customWidth="1"/>
    <col min="12021" max="12021" width="11.54296875" style="6" customWidth="1"/>
    <col min="12022" max="12024" width="8.7265625" style="6"/>
    <col min="12025" max="12025" width="9.81640625" style="6" bestFit="1" customWidth="1"/>
    <col min="12026" max="12273" width="8.7265625" style="6"/>
    <col min="12274" max="12274" width="10.54296875" style="6" customWidth="1"/>
    <col min="12275" max="12275" width="12" style="6" bestFit="1" customWidth="1"/>
    <col min="12276" max="12276" width="11" style="6" customWidth="1"/>
    <col min="12277" max="12277" width="11.54296875" style="6" customWidth="1"/>
    <col min="12278" max="12280" width="8.7265625" style="6"/>
    <col min="12281" max="12281" width="9.81640625" style="6" bestFit="1" customWidth="1"/>
    <col min="12282" max="12529" width="8.7265625" style="6"/>
    <col min="12530" max="12530" width="10.54296875" style="6" customWidth="1"/>
    <col min="12531" max="12531" width="12" style="6" bestFit="1" customWidth="1"/>
    <col min="12532" max="12532" width="11" style="6" customWidth="1"/>
    <col min="12533" max="12533" width="11.54296875" style="6" customWidth="1"/>
    <col min="12534" max="12536" width="8.7265625" style="6"/>
    <col min="12537" max="12537" width="9.81640625" style="6" bestFit="1" customWidth="1"/>
    <col min="12538" max="12785" width="8.7265625" style="6"/>
    <col min="12786" max="12786" width="10.54296875" style="6" customWidth="1"/>
    <col min="12787" max="12787" width="12" style="6" bestFit="1" customWidth="1"/>
    <col min="12788" max="12788" width="11" style="6" customWidth="1"/>
    <col min="12789" max="12789" width="11.54296875" style="6" customWidth="1"/>
    <col min="12790" max="12792" width="8.7265625" style="6"/>
    <col min="12793" max="12793" width="9.81640625" style="6" bestFit="1" customWidth="1"/>
    <col min="12794" max="13041" width="8.7265625" style="6"/>
    <col min="13042" max="13042" width="10.54296875" style="6" customWidth="1"/>
    <col min="13043" max="13043" width="12" style="6" bestFit="1" customWidth="1"/>
    <col min="13044" max="13044" width="11" style="6" customWidth="1"/>
    <col min="13045" max="13045" width="11.54296875" style="6" customWidth="1"/>
    <col min="13046" max="13048" width="8.7265625" style="6"/>
    <col min="13049" max="13049" width="9.81640625" style="6" bestFit="1" customWidth="1"/>
    <col min="13050" max="13297" width="8.7265625" style="6"/>
    <col min="13298" max="13298" width="10.54296875" style="6" customWidth="1"/>
    <col min="13299" max="13299" width="12" style="6" bestFit="1" customWidth="1"/>
    <col min="13300" max="13300" width="11" style="6" customWidth="1"/>
    <col min="13301" max="13301" width="11.54296875" style="6" customWidth="1"/>
    <col min="13302" max="13304" width="8.7265625" style="6"/>
    <col min="13305" max="13305" width="9.81640625" style="6" bestFit="1" customWidth="1"/>
    <col min="13306" max="13553" width="8.7265625" style="6"/>
    <col min="13554" max="13554" width="10.54296875" style="6" customWidth="1"/>
    <col min="13555" max="13555" width="12" style="6" bestFit="1" customWidth="1"/>
    <col min="13556" max="13556" width="11" style="6" customWidth="1"/>
    <col min="13557" max="13557" width="11.54296875" style="6" customWidth="1"/>
    <col min="13558" max="13560" width="8.7265625" style="6"/>
    <col min="13561" max="13561" width="9.81640625" style="6" bestFit="1" customWidth="1"/>
    <col min="13562" max="13809" width="8.7265625" style="6"/>
    <col min="13810" max="13810" width="10.54296875" style="6" customWidth="1"/>
    <col min="13811" max="13811" width="12" style="6" bestFit="1" customWidth="1"/>
    <col min="13812" max="13812" width="11" style="6" customWidth="1"/>
    <col min="13813" max="13813" width="11.54296875" style="6" customWidth="1"/>
    <col min="13814" max="13816" width="8.7265625" style="6"/>
    <col min="13817" max="13817" width="9.81640625" style="6" bestFit="1" customWidth="1"/>
    <col min="13818" max="14065" width="8.7265625" style="6"/>
    <col min="14066" max="14066" width="10.54296875" style="6" customWidth="1"/>
    <col min="14067" max="14067" width="12" style="6" bestFit="1" customWidth="1"/>
    <col min="14068" max="14068" width="11" style="6" customWidth="1"/>
    <col min="14069" max="14069" width="11.54296875" style="6" customWidth="1"/>
    <col min="14070" max="14072" width="8.7265625" style="6"/>
    <col min="14073" max="14073" width="9.81640625" style="6" bestFit="1" customWidth="1"/>
    <col min="14074" max="14321" width="8.7265625" style="6"/>
    <col min="14322" max="14322" width="10.54296875" style="6" customWidth="1"/>
    <col min="14323" max="14323" width="12" style="6" bestFit="1" customWidth="1"/>
    <col min="14324" max="14324" width="11" style="6" customWidth="1"/>
    <col min="14325" max="14325" width="11.54296875" style="6" customWidth="1"/>
    <col min="14326" max="14328" width="8.7265625" style="6"/>
    <col min="14329" max="14329" width="9.81640625" style="6" bestFit="1" customWidth="1"/>
    <col min="14330" max="14577" width="8.7265625" style="6"/>
    <col min="14578" max="14578" width="10.54296875" style="6" customWidth="1"/>
    <col min="14579" max="14579" width="12" style="6" bestFit="1" customWidth="1"/>
    <col min="14580" max="14580" width="11" style="6" customWidth="1"/>
    <col min="14581" max="14581" width="11.54296875" style="6" customWidth="1"/>
    <col min="14582" max="14584" width="8.7265625" style="6"/>
    <col min="14585" max="14585" width="9.81640625" style="6" bestFit="1" customWidth="1"/>
    <col min="14586" max="14833" width="8.7265625" style="6"/>
    <col min="14834" max="14834" width="10.54296875" style="6" customWidth="1"/>
    <col min="14835" max="14835" width="12" style="6" bestFit="1" customWidth="1"/>
    <col min="14836" max="14836" width="11" style="6" customWidth="1"/>
    <col min="14837" max="14837" width="11.54296875" style="6" customWidth="1"/>
    <col min="14838" max="14840" width="8.7265625" style="6"/>
    <col min="14841" max="14841" width="9.81640625" style="6" bestFit="1" customWidth="1"/>
    <col min="14842" max="15089" width="8.7265625" style="6"/>
    <col min="15090" max="15090" width="10.54296875" style="6" customWidth="1"/>
    <col min="15091" max="15091" width="12" style="6" bestFit="1" customWidth="1"/>
    <col min="15092" max="15092" width="11" style="6" customWidth="1"/>
    <col min="15093" max="15093" width="11.54296875" style="6" customWidth="1"/>
    <col min="15094" max="15096" width="8.7265625" style="6"/>
    <col min="15097" max="15097" width="9.81640625" style="6" bestFit="1" customWidth="1"/>
    <col min="15098" max="15345" width="8.7265625" style="6"/>
    <col min="15346" max="15346" width="10.54296875" style="6" customWidth="1"/>
    <col min="15347" max="15347" width="12" style="6" bestFit="1" customWidth="1"/>
    <col min="15348" max="15348" width="11" style="6" customWidth="1"/>
    <col min="15349" max="15349" width="11.54296875" style="6" customWidth="1"/>
    <col min="15350" max="15352" width="8.7265625" style="6"/>
    <col min="15353" max="15353" width="9.81640625" style="6" bestFit="1" customWidth="1"/>
    <col min="15354" max="15601" width="8.7265625" style="6"/>
    <col min="15602" max="15602" width="10.54296875" style="6" customWidth="1"/>
    <col min="15603" max="15603" width="12" style="6" bestFit="1" customWidth="1"/>
    <col min="15604" max="15604" width="11" style="6" customWidth="1"/>
    <col min="15605" max="15605" width="11.54296875" style="6" customWidth="1"/>
    <col min="15606" max="15608" width="8.7265625" style="6"/>
    <col min="15609" max="15609" width="9.81640625" style="6" bestFit="1" customWidth="1"/>
    <col min="15610" max="15857" width="8.7265625" style="6"/>
    <col min="15858" max="15858" width="10.54296875" style="6" customWidth="1"/>
    <col min="15859" max="15859" width="12" style="6" bestFit="1" customWidth="1"/>
    <col min="15860" max="15860" width="11" style="6" customWidth="1"/>
    <col min="15861" max="15861" width="11.54296875" style="6" customWidth="1"/>
    <col min="15862" max="15864" width="8.7265625" style="6"/>
    <col min="15865" max="15865" width="9.81640625" style="6" bestFit="1" customWidth="1"/>
    <col min="15866" max="16113" width="8.7265625" style="6"/>
    <col min="16114" max="16114" width="10.54296875" style="6" customWidth="1"/>
    <col min="16115" max="16115" width="12" style="6" bestFit="1" customWidth="1"/>
    <col min="16116" max="16116" width="11" style="6" customWidth="1"/>
    <col min="16117" max="16117" width="11.54296875" style="6" customWidth="1"/>
    <col min="16118" max="16120" width="8.7265625" style="6"/>
    <col min="16121" max="16121" width="9.81640625" style="6" bestFit="1" customWidth="1"/>
    <col min="16122" max="16384" width="8.7265625" style="6"/>
  </cols>
  <sheetData>
    <row r="1" spans="1:21" ht="41" customHeight="1">
      <c r="A1" s="245" t="s">
        <v>232</v>
      </c>
      <c r="B1" s="245"/>
      <c r="C1" s="245"/>
      <c r="D1" s="245"/>
      <c r="F1" s="6" cm="1">
        <f t="array" ref="F1">SUMPRODUCT(1/COUNTIF(B4:B11,B4:B11))</f>
        <v>2</v>
      </c>
      <c r="I1" s="248" t="s">
        <v>233</v>
      </c>
      <c r="J1" s="248"/>
      <c r="K1" s="248"/>
      <c r="L1" s="248"/>
      <c r="M1" s="248"/>
      <c r="N1" s="248"/>
      <c r="O1" s="248"/>
      <c r="P1" s="248"/>
      <c r="Q1" s="248"/>
      <c r="R1" s="248"/>
      <c r="S1" s="130"/>
    </row>
    <row r="2" spans="1:21" ht="13" thickBot="1"/>
    <row r="3" spans="1:21" ht="16" thickTop="1">
      <c r="A3" s="131" t="s">
        <v>234</v>
      </c>
      <c r="B3" s="132" t="s">
        <v>87</v>
      </c>
      <c r="C3" s="132" t="s">
        <v>235</v>
      </c>
      <c r="D3" s="132" t="s">
        <v>236</v>
      </c>
      <c r="E3" s="132" t="s">
        <v>88</v>
      </c>
      <c r="F3" s="132" t="s">
        <v>237</v>
      </c>
      <c r="G3" s="132" t="s">
        <v>238</v>
      </c>
      <c r="H3" s="133" t="s">
        <v>239</v>
      </c>
      <c r="J3" s="134" t="s">
        <v>240</v>
      </c>
    </row>
    <row r="4" spans="1:21" ht="15.5">
      <c r="A4" s="135">
        <v>1</v>
      </c>
      <c r="B4" s="136">
        <v>400</v>
      </c>
      <c r="C4" s="136">
        <v>1000</v>
      </c>
      <c r="D4" s="136">
        <v>0</v>
      </c>
      <c r="E4" s="136">
        <v>1.5</v>
      </c>
      <c r="F4" s="137">
        <v>0</v>
      </c>
      <c r="G4" s="137">
        <v>0.02</v>
      </c>
      <c r="H4" s="138">
        <v>4.2</v>
      </c>
      <c r="J4" s="139">
        <f>H4^2</f>
        <v>17.64</v>
      </c>
    </row>
    <row r="5" spans="1:21" ht="15.5">
      <c r="A5" s="135">
        <v>2</v>
      </c>
      <c r="B5" s="136">
        <v>400</v>
      </c>
      <c r="C5" s="136">
        <v>1500</v>
      </c>
      <c r="D5" s="136">
        <v>0</v>
      </c>
      <c r="E5" s="136">
        <v>1.5</v>
      </c>
      <c r="F5" s="137">
        <v>0.01</v>
      </c>
      <c r="G5" s="137">
        <v>0.05</v>
      </c>
      <c r="H5" s="138">
        <v>5.0999999999999996</v>
      </c>
      <c r="J5" s="139">
        <f t="shared" ref="J5:J11" si="0">H5^2</f>
        <v>26.009999999999998</v>
      </c>
    </row>
    <row r="6" spans="1:21" ht="15.5">
      <c r="A6" s="135">
        <v>3</v>
      </c>
      <c r="B6" s="136">
        <v>400</v>
      </c>
      <c r="C6" s="136">
        <v>1000</v>
      </c>
      <c r="D6" s="136">
        <v>15</v>
      </c>
      <c r="E6" s="136">
        <v>2.5</v>
      </c>
      <c r="F6" s="137">
        <v>0</v>
      </c>
      <c r="G6" s="137">
        <v>0.05</v>
      </c>
      <c r="H6" s="138">
        <v>3.7</v>
      </c>
      <c r="J6" s="139">
        <f t="shared" si="0"/>
        <v>13.690000000000001</v>
      </c>
    </row>
    <row r="7" spans="1:21" ht="15.5">
      <c r="A7" s="135">
        <v>4</v>
      </c>
      <c r="B7" s="136">
        <v>400</v>
      </c>
      <c r="C7" s="136">
        <v>1500</v>
      </c>
      <c r="D7" s="136">
        <v>15</v>
      </c>
      <c r="E7" s="136">
        <v>2.5</v>
      </c>
      <c r="F7" s="137">
        <v>0.01</v>
      </c>
      <c r="G7" s="137">
        <v>0.02</v>
      </c>
      <c r="H7" s="138">
        <v>5.6</v>
      </c>
      <c r="J7" s="139">
        <f t="shared" si="0"/>
        <v>31.359999999999996</v>
      </c>
    </row>
    <row r="8" spans="1:21" ht="15.5">
      <c r="A8" s="135">
        <v>5</v>
      </c>
      <c r="B8" s="136">
        <v>600</v>
      </c>
      <c r="C8" s="136">
        <v>1000</v>
      </c>
      <c r="D8" s="136">
        <v>15</v>
      </c>
      <c r="E8" s="136">
        <v>1.5</v>
      </c>
      <c r="F8" s="137">
        <v>0.01</v>
      </c>
      <c r="G8" s="137">
        <v>0.02</v>
      </c>
      <c r="H8" s="138">
        <v>2.9</v>
      </c>
      <c r="J8" s="139">
        <f t="shared" si="0"/>
        <v>8.41</v>
      </c>
    </row>
    <row r="9" spans="1:21" ht="15.5">
      <c r="A9" s="135">
        <v>6</v>
      </c>
      <c r="B9" s="136">
        <v>600</v>
      </c>
      <c r="C9" s="136">
        <v>1500</v>
      </c>
      <c r="D9" s="136">
        <v>15</v>
      </c>
      <c r="E9" s="136">
        <v>1.5</v>
      </c>
      <c r="F9" s="137">
        <v>0</v>
      </c>
      <c r="G9" s="137">
        <v>0.05</v>
      </c>
      <c r="H9" s="138">
        <v>3.8</v>
      </c>
      <c r="J9" s="139">
        <f t="shared" si="0"/>
        <v>14.44</v>
      </c>
      <c r="L9" s="6" t="s">
        <v>241</v>
      </c>
      <c r="M9" s="118">
        <f>J12-H12^2/A12</f>
        <v>5.4799999999999898</v>
      </c>
    </row>
    <row r="10" spans="1:21" ht="15.5">
      <c r="A10" s="135">
        <v>7</v>
      </c>
      <c r="B10" s="136">
        <v>600</v>
      </c>
      <c r="C10" s="136">
        <v>1000</v>
      </c>
      <c r="D10" s="136">
        <v>0</v>
      </c>
      <c r="E10" s="136">
        <v>2.5</v>
      </c>
      <c r="F10" s="137">
        <v>0.01</v>
      </c>
      <c r="G10" s="137">
        <v>0.05</v>
      </c>
      <c r="H10" s="138">
        <v>4.7</v>
      </c>
      <c r="J10" s="139">
        <f t="shared" si="0"/>
        <v>22.090000000000003</v>
      </c>
      <c r="M10" s="140" t="s">
        <v>242</v>
      </c>
      <c r="N10" s="140" t="s">
        <v>243</v>
      </c>
      <c r="O10" s="140" t="s">
        <v>244</v>
      </c>
      <c r="Q10" s="6" t="s">
        <v>245</v>
      </c>
      <c r="U10" s="6">
        <f>U11-1.125</f>
        <v>3.2300000000000066</v>
      </c>
    </row>
    <row r="11" spans="1:21" ht="16" thickBot="1">
      <c r="A11" s="141">
        <v>8</v>
      </c>
      <c r="B11" s="142">
        <v>600</v>
      </c>
      <c r="C11" s="142">
        <v>1500</v>
      </c>
      <c r="D11" s="142">
        <v>0</v>
      </c>
      <c r="E11" s="142">
        <v>2.5</v>
      </c>
      <c r="F11" s="143">
        <v>0</v>
      </c>
      <c r="G11" s="143">
        <v>0.02</v>
      </c>
      <c r="H11" s="144">
        <v>3.6</v>
      </c>
      <c r="J11" s="145">
        <f t="shared" si="0"/>
        <v>12.96</v>
      </c>
      <c r="L11" s="249" t="s">
        <v>87</v>
      </c>
      <c r="M11" s="146">
        <v>400</v>
      </c>
      <c r="N11" s="146">
        <f>AVERAGEIF($B$4:$B$11,$M11,$H$4:$H$11)</f>
        <v>4.6500000000000004</v>
      </c>
      <c r="O11" s="146">
        <f>COUNTIF($B$4:$B$11,$M11)</f>
        <v>4</v>
      </c>
      <c r="P11" s="6">
        <f>O11*(N11-$H$13)^2+O12*(N12-$H$13)^2</f>
        <v>1.6200000000000028</v>
      </c>
      <c r="Q11" s="6">
        <v>1.6200000000000028</v>
      </c>
      <c r="R11" s="6">
        <f>Q11^2</f>
        <v>2.6244000000000089</v>
      </c>
      <c r="U11" s="6">
        <f>SUM(Q11:Q16)</f>
        <v>4.3550000000000066</v>
      </c>
    </row>
    <row r="12" spans="1:21" ht="13" thickTop="1">
      <c r="A12" s="118">
        <f>COUNT(A4:A11)</f>
        <v>8</v>
      </c>
      <c r="H12" s="118">
        <f>SUM(H4:H11)</f>
        <v>33.6</v>
      </c>
      <c r="I12" s="147" t="s">
        <v>68</v>
      </c>
      <c r="J12" s="118">
        <f>SUM(J4:J11)</f>
        <v>146.6</v>
      </c>
      <c r="L12" s="249"/>
      <c r="M12" s="146">
        <v>600</v>
      </c>
      <c r="N12" s="146">
        <f>AVERAGEIF($B$4:$B$11,$M12,$H$4:$H$11)</f>
        <v>3.7499999999999996</v>
      </c>
      <c r="O12" s="146">
        <f>COUNTIF($B$4:$B$11,$M12)</f>
        <v>4</v>
      </c>
      <c r="Q12" s="6">
        <v>0.84500000000000097</v>
      </c>
      <c r="R12" s="6">
        <f t="shared" ref="R12:R16" si="1">Q12^2</f>
        <v>0.71402500000000169</v>
      </c>
      <c r="U12" s="6">
        <f>R17-(SUM(Q11:Q16))</f>
        <v>0.46947500000000719</v>
      </c>
    </row>
    <row r="13" spans="1:21">
      <c r="H13" s="118">
        <f>AVERAGE(H4:H11)</f>
        <v>4.2</v>
      </c>
      <c r="I13" s="147" t="s">
        <v>154</v>
      </c>
      <c r="L13" s="249" t="s">
        <v>235</v>
      </c>
      <c r="M13" s="146">
        <v>1000</v>
      </c>
      <c r="N13" s="146">
        <f>AVERAGEIF($C$4:$C$11,$M13,$H$4:$H$11)</f>
        <v>3.875</v>
      </c>
      <c r="O13" s="146">
        <f>COUNTIF($C$4:$C$11,$M13)</f>
        <v>4</v>
      </c>
      <c r="P13" s="6">
        <f t="shared" ref="P13" si="2">O13*(N13-$H$13)^2+O14*(N14-$H$13)^2</f>
        <v>0.84500000000000097</v>
      </c>
      <c r="Q13" s="6">
        <v>0.32000000000000056</v>
      </c>
      <c r="R13" s="6">
        <f t="shared" si="1"/>
        <v>0.10240000000000037</v>
      </c>
    </row>
    <row r="14" spans="1:21" ht="15.5" customHeight="1">
      <c r="A14" s="250" t="s">
        <v>156</v>
      </c>
      <c r="B14" s="252" t="s">
        <v>193</v>
      </c>
      <c r="C14" s="252" t="s">
        <v>194</v>
      </c>
      <c r="D14" s="254" t="s">
        <v>195</v>
      </c>
      <c r="E14" s="256" t="s">
        <v>246</v>
      </c>
      <c r="G14" s="250" t="s">
        <v>156</v>
      </c>
      <c r="H14" s="252" t="s">
        <v>193</v>
      </c>
      <c r="I14" s="252" t="s">
        <v>194</v>
      </c>
      <c r="J14" s="254" t="s">
        <v>195</v>
      </c>
      <c r="K14" s="256" t="s">
        <v>246</v>
      </c>
      <c r="L14" s="249"/>
      <c r="M14" s="146">
        <v>1500</v>
      </c>
      <c r="N14" s="146">
        <f>AVERAGEIF($C$4:$C$11,$M14,$H$4:$H$11)</f>
        <v>4.5250000000000004</v>
      </c>
      <c r="O14" s="146">
        <f>COUNTIF($C$4:$C$11,$M14)</f>
        <v>4</v>
      </c>
      <c r="Q14" s="6">
        <v>0.32000000000000056</v>
      </c>
      <c r="R14" s="6">
        <f t="shared" si="1"/>
        <v>0.10240000000000037</v>
      </c>
    </row>
    <row r="15" spans="1:21" ht="15.5" customHeight="1">
      <c r="A15" s="251"/>
      <c r="B15" s="253"/>
      <c r="C15" s="253"/>
      <c r="D15" s="255"/>
      <c r="E15" s="256"/>
      <c r="G15" s="251"/>
      <c r="H15" s="253"/>
      <c r="I15" s="253"/>
      <c r="J15" s="255"/>
      <c r="K15" s="256"/>
      <c r="L15" s="249" t="s">
        <v>236</v>
      </c>
      <c r="M15" s="146">
        <v>0</v>
      </c>
      <c r="N15" s="146">
        <f>AVERAGEIF($D$4:$D$11,$M15,$H$4:$H$11)</f>
        <v>4.4000000000000004</v>
      </c>
      <c r="O15" s="146">
        <f>COUNTIF($D$4:$D$11,$M15)</f>
        <v>4</v>
      </c>
      <c r="P15" s="6">
        <f t="shared" ref="P15" si="3">O15*(N15-$H$13)^2+O16*(N16-$H$13)^2</f>
        <v>0.32000000000000056</v>
      </c>
      <c r="Q15" s="6">
        <v>1.1250000000000013</v>
      </c>
      <c r="R15" s="6">
        <f t="shared" si="1"/>
        <v>1.2656250000000031</v>
      </c>
    </row>
    <row r="16" spans="1:21" ht="15.5">
      <c r="A16" s="148" t="s">
        <v>87</v>
      </c>
      <c r="B16" s="148">
        <v>1.62</v>
      </c>
      <c r="C16" s="148">
        <v>1</v>
      </c>
      <c r="D16" s="148">
        <v>1.62</v>
      </c>
      <c r="E16" s="148">
        <v>1.44</v>
      </c>
      <c r="G16" s="148" t="s">
        <v>87</v>
      </c>
      <c r="H16" s="149">
        <f>Q11</f>
        <v>1.6200000000000028</v>
      </c>
      <c r="I16" s="150" cm="1">
        <f t="array" ref="I16">SUMPRODUCT(1/COUNTIF(B4:B11,B4:B11))-1</f>
        <v>1</v>
      </c>
      <c r="J16" s="150">
        <f>H16/I16</f>
        <v>1.6200000000000028</v>
      </c>
      <c r="K16" s="151">
        <f>J16/$H$22</f>
        <v>1.4400000000000241</v>
      </c>
      <c r="L16" s="249"/>
      <c r="M16" s="146">
        <v>15</v>
      </c>
      <c r="N16" s="146">
        <f>AVERAGEIF($D$4:$D$11,$M16,$H$4:$H$11)</f>
        <v>4</v>
      </c>
      <c r="O16" s="146">
        <f>COUNTIF($D$4:$D$11,$M16)</f>
        <v>4</v>
      </c>
      <c r="Q16" s="6">
        <v>0.125</v>
      </c>
      <c r="R16" s="6">
        <f t="shared" si="1"/>
        <v>1.5625E-2</v>
      </c>
    </row>
    <row r="17" spans="1:18" ht="15.5">
      <c r="A17" s="148" t="s">
        <v>235</v>
      </c>
      <c r="B17" s="148">
        <v>0.84499999999999997</v>
      </c>
      <c r="C17" s="148">
        <v>1</v>
      </c>
      <c r="D17" s="148">
        <v>0.84499999999999997</v>
      </c>
      <c r="E17" s="148">
        <v>0.75</v>
      </c>
      <c r="G17" s="148" t="s">
        <v>235</v>
      </c>
      <c r="H17" s="149">
        <f t="shared" ref="H17:H21" si="4">Q12</f>
        <v>0.84500000000000097</v>
      </c>
      <c r="I17" s="150" cm="1">
        <f t="array" ref="I17">SUMPRODUCT(1/COUNTIF(C4:C11,C4:C11))-1</f>
        <v>1</v>
      </c>
      <c r="J17" s="150">
        <f t="shared" ref="J17:J22" si="5">H17/I17</f>
        <v>0.84500000000000097</v>
      </c>
      <c r="K17" s="151">
        <f t="shared" ref="K17:K21" si="6">J17/$H$22</f>
        <v>0.75111111111112328</v>
      </c>
      <c r="L17" s="249" t="s">
        <v>88</v>
      </c>
      <c r="M17" s="146">
        <v>1.5</v>
      </c>
      <c r="N17" s="146">
        <f>AVERAGEIF($E$4:$E$11,$M17,$H$4:$H$11)</f>
        <v>4</v>
      </c>
      <c r="O17" s="146">
        <f>COUNTIF($E$4:$E$11,$M17)</f>
        <v>4</v>
      </c>
      <c r="P17" s="6">
        <f t="shared" ref="P17" si="7">O17*(N17-$H$13)^2+O18*(N18-$H$13)^2</f>
        <v>0.32000000000000056</v>
      </c>
      <c r="Q17" s="6" t="s">
        <v>68</v>
      </c>
      <c r="R17" s="6">
        <f>SUM(R11:R16)</f>
        <v>4.8244750000000138</v>
      </c>
    </row>
    <row r="18" spans="1:18" ht="15.5">
      <c r="A18" s="148" t="s">
        <v>236</v>
      </c>
      <c r="B18" s="148">
        <v>0.32</v>
      </c>
      <c r="C18" s="148">
        <v>1</v>
      </c>
      <c r="D18" s="148">
        <v>0.32</v>
      </c>
      <c r="E18" s="148">
        <v>0.28000000000000003</v>
      </c>
      <c r="G18" s="148" t="s">
        <v>236</v>
      </c>
      <c r="H18" s="149">
        <f t="shared" si="4"/>
        <v>0.32000000000000056</v>
      </c>
      <c r="I18" s="150" cm="1">
        <f t="array" ref="I18">SUMPRODUCT(1/COUNTIF(D4:D11,D4:D11))-1</f>
        <v>1</v>
      </c>
      <c r="J18" s="150">
        <f t="shared" si="5"/>
        <v>0.32000000000000056</v>
      </c>
      <c r="K18" s="151">
        <f t="shared" si="6"/>
        <v>0.28444444444444922</v>
      </c>
      <c r="L18" s="249"/>
      <c r="M18" s="146">
        <v>2.5</v>
      </c>
      <c r="N18" s="146">
        <f>AVERAGEIF($E$4:$E$11,$M18,$H$4:$H$11)</f>
        <v>4.4000000000000004</v>
      </c>
      <c r="O18" s="146">
        <f t="shared" ref="O18" si="8">COUNTIF($E$4:$E$11,$M18)</f>
        <v>4</v>
      </c>
    </row>
    <row r="19" spans="1:18" ht="15.5">
      <c r="A19" s="148" t="s">
        <v>88</v>
      </c>
      <c r="B19" s="148">
        <v>0.32</v>
      </c>
      <c r="C19" s="148">
        <v>1</v>
      </c>
      <c r="D19" s="148">
        <v>0.32</v>
      </c>
      <c r="E19" s="148">
        <v>0.28000000000000003</v>
      </c>
      <c r="G19" s="148" t="s">
        <v>88</v>
      </c>
      <c r="H19" s="149">
        <f t="shared" si="4"/>
        <v>0.32000000000000056</v>
      </c>
      <c r="I19" s="150" cm="1">
        <f t="array" ref="I19">SUMPRODUCT(1/COUNTIF(E4:E11,E4:E11))-1</f>
        <v>1</v>
      </c>
      <c r="J19" s="150">
        <f t="shared" si="5"/>
        <v>0.32000000000000056</v>
      </c>
      <c r="K19" s="151">
        <f t="shared" si="6"/>
        <v>0.28444444444444922</v>
      </c>
      <c r="L19" s="249" t="s">
        <v>237</v>
      </c>
      <c r="M19" s="152">
        <v>0</v>
      </c>
      <c r="N19" s="146">
        <f>AVERAGEIF($F$4:$F$11,$M19,$H$4:$H$11)</f>
        <v>3.8249999999999997</v>
      </c>
      <c r="O19" s="146">
        <f>COUNTIF($F$4:$F$11,$M19)</f>
        <v>4</v>
      </c>
      <c r="P19" s="6">
        <f t="shared" ref="P19" si="9">O19*(N19-$H$13)^2+O20*(N20-$H$13)^2</f>
        <v>1.1250000000000013</v>
      </c>
    </row>
    <row r="20" spans="1:18" ht="15.5">
      <c r="A20" s="148" t="s">
        <v>237</v>
      </c>
      <c r="B20" s="148">
        <v>1.125</v>
      </c>
      <c r="C20" s="148">
        <v>1</v>
      </c>
      <c r="D20" s="148">
        <v>1.125</v>
      </c>
      <c r="E20" s="148">
        <v>1</v>
      </c>
      <c r="G20" s="148" t="s">
        <v>237</v>
      </c>
      <c r="H20" s="149">
        <f t="shared" si="4"/>
        <v>1.1250000000000013</v>
      </c>
      <c r="I20" s="150" cm="1">
        <f t="array" ref="I20">SUMPRODUCT(1/COUNTIF(F4:F11,F4:F11))-1</f>
        <v>1</v>
      </c>
      <c r="J20" s="150">
        <f t="shared" si="5"/>
        <v>1.1250000000000013</v>
      </c>
      <c r="K20" s="151">
        <f t="shared" si="6"/>
        <v>1.0000000000000162</v>
      </c>
      <c r="L20" s="249"/>
      <c r="M20" s="152">
        <v>0.01</v>
      </c>
      <c r="N20" s="146">
        <f>AVERAGEIF($F$4:$F$11,$M20,$H$4:$H$11)</f>
        <v>4.5750000000000002</v>
      </c>
      <c r="O20" s="146">
        <f t="shared" ref="O20" si="10">COUNTIF($F$4:$F$11,$M20)</f>
        <v>4</v>
      </c>
    </row>
    <row r="21" spans="1:18" ht="15.5">
      <c r="A21" s="148" t="s">
        <v>238</v>
      </c>
      <c r="B21" s="148">
        <v>0.125</v>
      </c>
      <c r="C21" s="148">
        <v>1</v>
      </c>
      <c r="D21" s="148">
        <v>0.125</v>
      </c>
      <c r="E21" s="148">
        <v>0.11</v>
      </c>
      <c r="G21" s="148" t="s">
        <v>238</v>
      </c>
      <c r="H21" s="149">
        <f t="shared" si="4"/>
        <v>0.125</v>
      </c>
      <c r="I21" s="150" cm="1">
        <f t="array" ref="I21">SUMPRODUCT(1/COUNTIF(G4:G11,G4:G11))-1</f>
        <v>1</v>
      </c>
      <c r="J21" s="150">
        <f t="shared" si="5"/>
        <v>0.125</v>
      </c>
      <c r="K21" s="151">
        <f t="shared" si="6"/>
        <v>0.11111111111111278</v>
      </c>
      <c r="L21" s="249" t="s">
        <v>238</v>
      </c>
      <c r="M21" s="152">
        <v>0.02</v>
      </c>
      <c r="N21" s="146">
        <f>AVERAGEIF($G$4:$G$11,$M21,$H$4:$H$11)</f>
        <v>4.0750000000000002</v>
      </c>
      <c r="O21" s="146">
        <f>COUNTIF($G$4:$G$11,$M21)</f>
        <v>4</v>
      </c>
      <c r="P21" s="6">
        <f t="shared" ref="P21" si="11">O21*(N21-$H$13)^2+O22*(N22-$H$13)^2</f>
        <v>0.125</v>
      </c>
    </row>
    <row r="22" spans="1:18" ht="15.5">
      <c r="A22" s="148" t="s">
        <v>54</v>
      </c>
      <c r="B22" s="148">
        <v>1.125</v>
      </c>
      <c r="C22" s="148">
        <v>1</v>
      </c>
      <c r="D22" s="148">
        <v>1.125</v>
      </c>
      <c r="E22" s="153"/>
      <c r="G22" s="148" t="s">
        <v>54</v>
      </c>
      <c r="H22" s="150">
        <f>H23-SUM(H16:H21)</f>
        <v>1.1249999999999831</v>
      </c>
      <c r="I22" s="150" cm="1">
        <f t="array" ref="I22">SUMPRODUCT(1/COUNTIF(G4:G11,G4:G11))-1</f>
        <v>1</v>
      </c>
      <c r="J22" s="150">
        <f t="shared" si="5"/>
        <v>1.1249999999999831</v>
      </c>
      <c r="K22" s="153"/>
      <c r="L22" s="249"/>
      <c r="M22" s="152">
        <v>0.05</v>
      </c>
      <c r="N22" s="146">
        <f>AVERAGEIF($G$4:$G$11,$M22,$H$4:$H$11)</f>
        <v>4.3250000000000002</v>
      </c>
      <c r="O22" s="146">
        <f>COUNTIF($G$4:$G$11,$M22)</f>
        <v>4</v>
      </c>
    </row>
    <row r="23" spans="1:18" ht="15.5">
      <c r="A23" s="148" t="s">
        <v>68</v>
      </c>
      <c r="B23" s="148">
        <v>5.48</v>
      </c>
      <c r="C23" s="148">
        <v>7</v>
      </c>
      <c r="D23" s="153"/>
      <c r="E23" s="153"/>
      <c r="G23" s="148" t="s">
        <v>178</v>
      </c>
      <c r="H23" s="150">
        <f>M9</f>
        <v>5.4799999999999898</v>
      </c>
      <c r="I23" s="150">
        <f>A12-1</f>
        <v>7</v>
      </c>
      <c r="J23" s="153"/>
      <c r="K23" s="153"/>
    </row>
    <row r="25" spans="1:18" ht="15.5">
      <c r="G25" s="123" t="s">
        <v>191</v>
      </c>
      <c r="K25" s="6" t="s">
        <v>247</v>
      </c>
    </row>
    <row r="26" spans="1:18" ht="12.5" customHeight="1">
      <c r="B26" s="248" t="s">
        <v>248</v>
      </c>
      <c r="C26" s="248"/>
      <c r="D26" s="248"/>
      <c r="E26" s="248"/>
      <c r="F26" s="248"/>
      <c r="G26" s="248"/>
      <c r="H26" s="248"/>
      <c r="I26" s="248"/>
      <c r="J26" s="248"/>
      <c r="K26" s="248"/>
      <c r="L26" s="248"/>
      <c r="M26" s="248"/>
      <c r="N26" s="248"/>
      <c r="O26" s="248"/>
    </row>
    <row r="27" spans="1:18">
      <c r="B27" s="248"/>
      <c r="C27" s="248"/>
      <c r="D27" s="248"/>
      <c r="E27" s="248"/>
      <c r="F27" s="248"/>
      <c r="G27" s="248"/>
      <c r="H27" s="248"/>
      <c r="I27" s="248"/>
      <c r="J27" s="248"/>
      <c r="K27" s="248"/>
      <c r="L27" s="248"/>
      <c r="M27" s="248"/>
      <c r="N27" s="248"/>
      <c r="O27" s="248"/>
    </row>
    <row r="28" spans="1:18">
      <c r="B28" s="248"/>
      <c r="C28" s="248"/>
      <c r="D28" s="248"/>
      <c r="E28" s="248"/>
      <c r="F28" s="248"/>
      <c r="G28" s="248"/>
      <c r="H28" s="248"/>
      <c r="I28" s="248"/>
      <c r="J28" s="248"/>
      <c r="K28" s="248"/>
      <c r="L28" s="248"/>
      <c r="M28" s="248"/>
      <c r="N28" s="248"/>
      <c r="O28" s="248"/>
    </row>
    <row r="29" spans="1:18">
      <c r="B29" s="248"/>
      <c r="C29" s="248"/>
      <c r="D29" s="248"/>
      <c r="E29" s="248"/>
      <c r="F29" s="248"/>
      <c r="G29" s="248"/>
      <c r="H29" s="248"/>
      <c r="I29" s="248"/>
      <c r="J29" s="248"/>
      <c r="K29" s="248"/>
      <c r="L29" s="248"/>
      <c r="M29" s="248"/>
      <c r="N29" s="248"/>
      <c r="O29" s="248"/>
    </row>
    <row r="35" spans="3:7">
      <c r="C35" s="154">
        <v>100</v>
      </c>
      <c r="D35" s="154">
        <v>100</v>
      </c>
    </row>
    <row r="36" spans="3:7">
      <c r="C36" s="154">
        <v>200</v>
      </c>
      <c r="D36" s="154">
        <v>200</v>
      </c>
      <c r="G36" s="6" cm="1">
        <f t="array" ref="G36">SUMPRODUCT(1/COUNTIF(C35:C54,C35:C54))</f>
        <v>4.9999999999999991</v>
      </c>
    </row>
    <row r="37" spans="3:7">
      <c r="C37" s="154">
        <v>750</v>
      </c>
      <c r="D37" s="154">
        <v>750</v>
      </c>
    </row>
    <row r="38" spans="3:7">
      <c r="C38" s="154">
        <v>100</v>
      </c>
      <c r="D38" s="154">
        <v>800</v>
      </c>
    </row>
    <row r="39" spans="3:7">
      <c r="C39" s="154">
        <v>200</v>
      </c>
      <c r="D39" s="154">
        <v>900</v>
      </c>
    </row>
    <row r="40" spans="3:7" ht="14.5">
      <c r="C40" s="154">
        <v>100</v>
      </c>
      <c r="D40"/>
    </row>
    <row r="41" spans="3:7" ht="14.5">
      <c r="C41" s="154">
        <v>200</v>
      </c>
      <c r="D41"/>
    </row>
    <row r="42" spans="3:7" ht="14.5">
      <c r="C42" s="154">
        <v>100</v>
      </c>
      <c r="D42"/>
    </row>
    <row r="43" spans="3:7" ht="14.5">
      <c r="C43" s="154">
        <v>800</v>
      </c>
      <c r="D43"/>
    </row>
    <row r="44" spans="3:7" ht="14.5">
      <c r="C44" s="154">
        <v>200</v>
      </c>
      <c r="D44"/>
    </row>
    <row r="45" spans="3:7" ht="14.5">
      <c r="C45" s="154">
        <v>900</v>
      </c>
      <c r="D45"/>
    </row>
    <row r="46" spans="3:7" ht="14.5">
      <c r="C46" s="154">
        <v>200</v>
      </c>
      <c r="D46"/>
    </row>
    <row r="47" spans="3:7" ht="14.5">
      <c r="C47" s="154">
        <v>100</v>
      </c>
      <c r="D47"/>
    </row>
    <row r="48" spans="3:7" ht="14.5">
      <c r="C48" s="154">
        <v>100</v>
      </c>
      <c r="D48"/>
    </row>
    <row r="49" spans="3:4" ht="14.5">
      <c r="C49" s="154">
        <v>200</v>
      </c>
      <c r="D49"/>
    </row>
    <row r="50" spans="3:4" ht="14.5">
      <c r="C50" s="154">
        <v>100</v>
      </c>
      <c r="D50"/>
    </row>
    <row r="51" spans="3:4" ht="14.5">
      <c r="C51" s="154">
        <v>800</v>
      </c>
      <c r="D51"/>
    </row>
    <row r="52" spans="3:4" ht="14.5">
      <c r="C52" s="154">
        <v>100</v>
      </c>
      <c r="D52"/>
    </row>
    <row r="53" spans="3:4" ht="14.5">
      <c r="C53" s="154">
        <v>900</v>
      </c>
      <c r="D53"/>
    </row>
    <row r="54" spans="3:4" ht="14.5">
      <c r="C54" s="154">
        <v>800</v>
      </c>
      <c r="D54"/>
    </row>
  </sheetData>
  <mergeCells count="19">
    <mergeCell ref="L19:L20"/>
    <mergeCell ref="L21:L22"/>
    <mergeCell ref="B26:O29"/>
    <mergeCell ref="H14:H15"/>
    <mergeCell ref="I14:I15"/>
    <mergeCell ref="J14:J15"/>
    <mergeCell ref="K14:K15"/>
    <mergeCell ref="L15:L16"/>
    <mergeCell ref="L17:L18"/>
    <mergeCell ref="A1:D1"/>
    <mergeCell ref="I1:R1"/>
    <mergeCell ref="L11:L12"/>
    <mergeCell ref="L13:L14"/>
    <mergeCell ref="A14:A15"/>
    <mergeCell ref="B14:B15"/>
    <mergeCell ref="C14:C15"/>
    <mergeCell ref="D14:D15"/>
    <mergeCell ref="E14:E15"/>
    <mergeCell ref="G14:G15"/>
  </mergeCells>
  <hyperlinks>
    <hyperlink ref="G25" r:id="rId1" xr:uid="{EFFD46BB-CA0C-4D50-AEC2-1C0728FBEBD1}"/>
  </hyperlinks>
  <pageMargins left="0.75" right="0.75" top="1" bottom="1" header="0.5" footer="0.5"/>
  <pageSetup orientation="portrait" r:id="rId2"/>
  <headerFooter alignWithMargins="0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87A5D-C4CB-4280-A523-90BCBB96E49F}">
  <dimension ref="A1:H18"/>
  <sheetViews>
    <sheetView workbookViewId="0">
      <selection activeCell="A20" sqref="A20"/>
    </sheetView>
  </sheetViews>
  <sheetFormatPr defaultRowHeight="12.5"/>
  <cols>
    <col min="1" max="1" width="21.54296875" style="6" customWidth="1"/>
    <col min="2" max="16384" width="8.7265625" style="6"/>
  </cols>
  <sheetData>
    <row r="1" spans="1:8" ht="18">
      <c r="A1" s="155" t="s">
        <v>249</v>
      </c>
    </row>
    <row r="3" spans="1:8" ht="15.5">
      <c r="A3" s="156" t="s">
        <v>250</v>
      </c>
      <c r="B3" s="157">
        <v>0.99</v>
      </c>
      <c r="C3" s="158"/>
    </row>
    <row r="4" spans="1:8" ht="15.5">
      <c r="A4" s="156" t="s">
        <v>251</v>
      </c>
      <c r="B4" s="157">
        <v>0.9</v>
      </c>
      <c r="C4" s="158"/>
    </row>
    <row r="5" spans="1:8" ht="15.5">
      <c r="A5" s="156" t="s">
        <v>252</v>
      </c>
      <c r="B5" s="159">
        <f>LN(1-B4)/LN(B3)</f>
        <v>229.10528827669427</v>
      </c>
      <c r="C5" s="160" t="s">
        <v>253</v>
      </c>
    </row>
    <row r="6" spans="1:8" ht="15.5">
      <c r="A6" s="158"/>
      <c r="B6" s="158"/>
      <c r="C6" s="158"/>
      <c r="H6" s="160" t="s">
        <v>253</v>
      </c>
    </row>
    <row r="7" spans="1:8" ht="15.5">
      <c r="A7" s="158"/>
      <c r="B7" s="158"/>
      <c r="C7" s="158"/>
    </row>
    <row r="8" spans="1:8" ht="15.5">
      <c r="A8" s="158"/>
      <c r="B8" s="158"/>
      <c r="C8" s="158"/>
    </row>
    <row r="9" spans="1:8" ht="15.5">
      <c r="A9" s="158"/>
      <c r="B9" s="158"/>
      <c r="C9" s="158"/>
    </row>
    <row r="10" spans="1:8" ht="15.5">
      <c r="A10" s="158"/>
      <c r="B10" s="158"/>
      <c r="C10" s="158"/>
    </row>
    <row r="11" spans="1:8" ht="15.5">
      <c r="A11" s="158"/>
      <c r="B11" s="158"/>
      <c r="C11" s="158"/>
    </row>
    <row r="12" spans="1:8" ht="15.5">
      <c r="A12" s="161" t="s">
        <v>254</v>
      </c>
      <c r="B12" s="161" t="s">
        <v>255</v>
      </c>
      <c r="C12" s="158"/>
    </row>
    <row r="13" spans="1:8" ht="14.5">
      <c r="A13" s="162">
        <f>0.9^3</f>
        <v>0.72900000000000009</v>
      </c>
      <c r="B13" s="163" t="s">
        <v>256</v>
      </c>
    </row>
    <row r="14" spans="1:8" ht="14.5">
      <c r="A14" s="162">
        <f>EXP(-0.008*100)</f>
        <v>0.44932896411722156</v>
      </c>
      <c r="B14" s="163" t="s">
        <v>257</v>
      </c>
    </row>
    <row r="15" spans="1:8" ht="14.5">
      <c r="A15" s="162">
        <f>1-(1-EXP(-25/40))*(1-EXP(-25/80))*(1-EXP(-25/85))</f>
        <v>0.96821776572708662</v>
      </c>
      <c r="B15" s="163" t="s">
        <v>258</v>
      </c>
    </row>
    <row r="16" spans="1:8" ht="14.5">
      <c r="A16" s="162">
        <f>EXP(-0.000388*300)</f>
        <v>0.89011910443667397</v>
      </c>
      <c r="B16" s="163" t="s">
        <v>259</v>
      </c>
    </row>
    <row r="17" spans="1:4" ht="14.5">
      <c r="A17" s="162">
        <f>FACT(4)/(FACT(2)*FACT(4-2))*(0.89^2)*(1-0.89)^(4-2)+FACT(4)/(FACT(3)*FACT(4-3))*(0.89^3)*(1-0.89)^(4-3)+FACT(4)/(FACT(4)*FACT(4-4))*(0.89^4)*(1-0.89)^(4-4)</f>
        <v>0.99511523000000013</v>
      </c>
      <c r="B17" s="163" t="s">
        <v>260</v>
      </c>
    </row>
    <row r="18" spans="1:4" ht="14.5">
      <c r="A18" s="162">
        <f>LN(1-0.9)/LN(0.99)</f>
        <v>229.10528827669427</v>
      </c>
      <c r="B18" s="163" t="s">
        <v>261</v>
      </c>
      <c r="D18" s="160" t="s">
        <v>253</v>
      </c>
    </row>
  </sheetData>
  <pageMargins left="0.75" right="0.75" top="1" bottom="1" header="0.5" footer="0.5"/>
  <headerFooter alignWithMargins="0">
    <oddHeader>&amp;A</oddHeader>
    <oddFooter>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32A08-632D-4643-8037-6D4239F15462}">
  <dimension ref="B1:D13"/>
  <sheetViews>
    <sheetView workbookViewId="0">
      <selection activeCell="D17" sqref="D17"/>
    </sheetView>
  </sheetViews>
  <sheetFormatPr defaultRowHeight="14.5"/>
  <cols>
    <col min="2" max="2" width="11.90625" customWidth="1"/>
  </cols>
  <sheetData>
    <row r="1" spans="2:4" ht="15" thickBot="1"/>
    <row r="2" spans="2:4" ht="30" customHeight="1">
      <c r="B2" s="257" t="s">
        <v>262</v>
      </c>
      <c r="C2" s="259" t="s">
        <v>263</v>
      </c>
      <c r="D2" s="261" t="s">
        <v>264</v>
      </c>
    </row>
    <row r="3" spans="2:4" ht="15" thickBot="1">
      <c r="B3" s="258"/>
      <c r="C3" s="260"/>
      <c r="D3" s="262"/>
    </row>
    <row r="4" spans="2:4" ht="15.5">
      <c r="B4" s="164">
        <v>12</v>
      </c>
      <c r="C4" s="170">
        <v>11.98</v>
      </c>
      <c r="D4" s="167">
        <f>C4-B4</f>
        <v>-1.9999999999999574E-2</v>
      </c>
    </row>
    <row r="5" spans="2:4" ht="15.5">
      <c r="B5" s="165">
        <v>14</v>
      </c>
      <c r="C5" s="171">
        <v>13.99</v>
      </c>
      <c r="D5" s="168">
        <f t="shared" ref="D5:D8" si="0">C5-B5</f>
        <v>-9.9999999999997868E-3</v>
      </c>
    </row>
    <row r="6" spans="2:4" ht="15.5">
      <c r="B6" s="165">
        <v>16</v>
      </c>
      <c r="C6" s="171">
        <v>16</v>
      </c>
      <c r="D6" s="168">
        <f t="shared" si="0"/>
        <v>0</v>
      </c>
    </row>
    <row r="7" spans="2:4" ht="15.5">
      <c r="B7" s="165">
        <v>18</v>
      </c>
      <c r="C7" s="171">
        <v>18.010000000000002</v>
      </c>
      <c r="D7" s="168">
        <f t="shared" si="0"/>
        <v>1.0000000000001563E-2</v>
      </c>
    </row>
    <row r="8" spans="2:4" ht="16" thickBot="1">
      <c r="B8" s="166">
        <v>20</v>
      </c>
      <c r="C8" s="172">
        <v>20.02</v>
      </c>
      <c r="D8" s="169">
        <f t="shared" si="0"/>
        <v>1.9999999999999574E-2</v>
      </c>
    </row>
    <row r="11" spans="2:4">
      <c r="B11" s="86" t="s">
        <v>265</v>
      </c>
      <c r="C11">
        <f>MAX(B4:B8)-MIN(B4:B8)</f>
        <v>8</v>
      </c>
    </row>
    <row r="12" spans="2:4">
      <c r="B12" s="86" t="s">
        <v>266</v>
      </c>
      <c r="C12" s="85">
        <f>MAX(D4:D8)-MIN(D4:D8)</f>
        <v>3.9999999999999147E-2</v>
      </c>
    </row>
    <row r="13" spans="2:4">
      <c r="B13" s="86" t="s">
        <v>267</v>
      </c>
      <c r="C13">
        <f>C12/C11</f>
        <v>4.9999999999998934E-3</v>
      </c>
    </row>
  </sheetData>
  <mergeCells count="3">
    <mergeCell ref="B2:B3"/>
    <mergeCell ref="C2:C3"/>
    <mergeCell ref="D2:D3"/>
  </mergeCells>
  <pageMargins left="0.7" right="0.7" top="0.75" bottom="0.75" header="0.3" footer="0.3"/>
  <pageSetup paperSize="9" orientation="portrait" horizontalDpi="30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EB8BA-8FF5-4739-8DED-6AB3A927D5FF}">
  <dimension ref="A1:S106"/>
  <sheetViews>
    <sheetView workbookViewId="0">
      <selection activeCell="B7" sqref="B7"/>
    </sheetView>
  </sheetViews>
  <sheetFormatPr defaultRowHeight="12.5"/>
  <cols>
    <col min="1" max="1" width="26.7265625" style="6" customWidth="1"/>
    <col min="2" max="16384" width="8.7265625" style="6"/>
  </cols>
  <sheetData>
    <row r="1" spans="1:19" ht="23">
      <c r="A1" s="173" t="s">
        <v>268</v>
      </c>
    </row>
    <row r="2" spans="1:19" ht="15.5">
      <c r="F2" s="6" t="s">
        <v>269</v>
      </c>
      <c r="O2" s="174">
        <v>100.1</v>
      </c>
      <c r="P2" s="174">
        <v>100.6</v>
      </c>
      <c r="Q2" s="174">
        <v>101.5</v>
      </c>
      <c r="R2" s="174">
        <v>101.6</v>
      </c>
      <c r="S2" s="174">
        <v>101.8</v>
      </c>
    </row>
    <row r="3" spans="1:19" ht="15.5">
      <c r="A3" s="122" t="s">
        <v>270</v>
      </c>
      <c r="B3" s="175">
        <v>100.3</v>
      </c>
      <c r="D3" s="176" t="s">
        <v>271</v>
      </c>
      <c r="O3" s="174">
        <v>101.9</v>
      </c>
      <c r="P3" s="174">
        <v>100.2</v>
      </c>
      <c r="Q3" s="174">
        <v>100.8</v>
      </c>
      <c r="R3" s="174">
        <v>101.3</v>
      </c>
      <c r="S3" s="174">
        <v>100</v>
      </c>
    </row>
    <row r="4" spans="1:19" ht="15.5">
      <c r="A4" s="177" t="s">
        <v>272</v>
      </c>
      <c r="B4" s="178">
        <f>AVERAGE(D4:D33)</f>
        <v>100.91666666666669</v>
      </c>
      <c r="C4" s="186">
        <f>AVERAGE(O2:S7)</f>
        <v>100.9166666666667</v>
      </c>
      <c r="D4" s="179">
        <v>100.1</v>
      </c>
      <c r="O4" s="174">
        <v>101</v>
      </c>
      <c r="P4" s="174">
        <v>101.1</v>
      </c>
      <c r="Q4" s="174">
        <v>102</v>
      </c>
      <c r="R4" s="174">
        <v>100.5</v>
      </c>
      <c r="S4" s="174">
        <v>100.7</v>
      </c>
    </row>
    <row r="5" spans="1:19" ht="15.5">
      <c r="A5" s="122" t="s">
        <v>273</v>
      </c>
      <c r="B5" s="178">
        <f>STDEV(D4:D33)</f>
        <v>0.58726915249420708</v>
      </c>
      <c r="D5" s="179">
        <v>101.9</v>
      </c>
      <c r="O5" s="174">
        <v>100.2</v>
      </c>
      <c r="P5" s="174">
        <v>101.6</v>
      </c>
      <c r="Q5" s="174">
        <v>100.9</v>
      </c>
      <c r="R5" s="174">
        <v>100.6</v>
      </c>
      <c r="S5" s="174">
        <v>100.4</v>
      </c>
    </row>
    <row r="6" spans="1:19" ht="15.5">
      <c r="A6" s="122" t="s">
        <v>274</v>
      </c>
      <c r="B6" s="180">
        <v>0.1</v>
      </c>
      <c r="D6" s="179">
        <v>101</v>
      </c>
      <c r="O6" s="174">
        <v>100.6</v>
      </c>
      <c r="P6" s="174">
        <v>100.8</v>
      </c>
      <c r="Q6" s="174">
        <v>100.5</v>
      </c>
      <c r="R6" s="174">
        <v>101</v>
      </c>
      <c r="S6" s="174">
        <v>100</v>
      </c>
    </row>
    <row r="7" spans="1:19" ht="15.5">
      <c r="A7" s="177" t="s">
        <v>275</v>
      </c>
      <c r="B7" s="178">
        <f>TINV(B6,COUNT(D4:D33)-1)</f>
        <v>1.6991270265334986</v>
      </c>
      <c r="C7" s="181" t="s">
        <v>253</v>
      </c>
      <c r="D7" s="179">
        <v>100.2</v>
      </c>
      <c r="O7" s="174">
        <v>101.5</v>
      </c>
      <c r="P7" s="174">
        <v>101.4</v>
      </c>
      <c r="Q7" s="174">
        <v>101.3</v>
      </c>
      <c r="R7" s="174">
        <v>100.3</v>
      </c>
      <c r="S7" s="174">
        <v>101.3</v>
      </c>
    </row>
    <row r="8" spans="1:19" ht="13">
      <c r="A8" s="122" t="s">
        <v>276</v>
      </c>
      <c r="B8" s="178">
        <f>(B4-B3)/(B5/(COUNT(D4:D33)^0.5))</f>
        <v>5.7514044856663249</v>
      </c>
      <c r="C8" s="160" t="s">
        <v>253</v>
      </c>
      <c r="D8" s="179">
        <v>100.6</v>
      </c>
    </row>
    <row r="9" spans="1:19" ht="13">
      <c r="A9" s="122" t="s">
        <v>277</v>
      </c>
      <c r="B9" s="178">
        <f>+B4-B3</f>
        <v>0.61666666666668846</v>
      </c>
      <c r="C9" s="182" t="s">
        <v>253</v>
      </c>
      <c r="D9" s="179">
        <v>101.5</v>
      </c>
    </row>
    <row r="10" spans="1:19" ht="13">
      <c r="A10" s="122"/>
      <c r="B10" s="183"/>
      <c r="D10" s="179">
        <v>100.6</v>
      </c>
    </row>
    <row r="11" spans="1:19" ht="13">
      <c r="A11" s="122"/>
      <c r="B11" s="183"/>
      <c r="D11" s="179">
        <v>100.2</v>
      </c>
    </row>
    <row r="12" spans="1:19" ht="13">
      <c r="A12" s="122"/>
      <c r="B12" s="183"/>
      <c r="C12" s="182" t="s">
        <v>253</v>
      </c>
      <c r="D12" s="179">
        <v>101.1</v>
      </c>
      <c r="F12" s="6" t="s">
        <v>278</v>
      </c>
    </row>
    <row r="13" spans="1:19" ht="13">
      <c r="A13" s="122"/>
      <c r="B13" s="183"/>
      <c r="D13" s="179">
        <v>101.6</v>
      </c>
    </row>
    <row r="14" spans="1:19" ht="13">
      <c r="A14" s="122"/>
      <c r="B14" s="183"/>
      <c r="D14" s="179">
        <v>100.8</v>
      </c>
      <c r="K14" s="181" t="s">
        <v>253</v>
      </c>
    </row>
    <row r="15" spans="1:19" ht="13">
      <c r="A15" s="122"/>
      <c r="B15" s="183"/>
      <c r="D15" s="179">
        <v>101.4</v>
      </c>
      <c r="K15" s="184" t="s">
        <v>279</v>
      </c>
    </row>
    <row r="16" spans="1:19" ht="13">
      <c r="A16" s="122"/>
      <c r="B16" s="183"/>
      <c r="D16" s="179">
        <v>101.5</v>
      </c>
      <c r="K16" s="6" t="s">
        <v>280</v>
      </c>
    </row>
    <row r="17" spans="1:11" ht="13">
      <c r="A17" s="122"/>
      <c r="B17" s="183"/>
      <c r="D17" s="179">
        <v>100.8</v>
      </c>
      <c r="K17" s="6" t="s">
        <v>281</v>
      </c>
    </row>
    <row r="18" spans="1:11" ht="13">
      <c r="A18" s="122"/>
      <c r="B18" s="183"/>
      <c r="D18" s="179">
        <v>102</v>
      </c>
      <c r="K18" s="6" t="s">
        <v>282</v>
      </c>
    </row>
    <row r="19" spans="1:11" ht="13">
      <c r="D19" s="179">
        <v>100.9</v>
      </c>
      <c r="K19" s="6">
        <f>TINV(0.1,29)</f>
        <v>1.6991270265334986</v>
      </c>
    </row>
    <row r="20" spans="1:11" ht="13">
      <c r="A20" s="122"/>
      <c r="D20" s="179">
        <v>100.5</v>
      </c>
      <c r="K20" s="6" t="s">
        <v>283</v>
      </c>
    </row>
    <row r="21" spans="1:11" ht="13">
      <c r="A21" s="122"/>
      <c r="B21" s="183"/>
      <c r="D21" s="179">
        <v>101.3</v>
      </c>
      <c r="K21" s="6" t="s">
        <v>284</v>
      </c>
    </row>
    <row r="22" spans="1:11" ht="13">
      <c r="A22" s="122"/>
      <c r="B22" s="183"/>
      <c r="D22" s="179">
        <v>101.6</v>
      </c>
    </row>
    <row r="23" spans="1:11" ht="13">
      <c r="A23" s="122"/>
      <c r="B23" s="183"/>
      <c r="D23" s="179">
        <v>101.3</v>
      </c>
      <c r="F23" s="6" t="s">
        <v>285</v>
      </c>
    </row>
    <row r="24" spans="1:11" ht="17.5">
      <c r="A24" s="122"/>
      <c r="B24" s="183"/>
      <c r="D24" s="179">
        <v>100.5</v>
      </c>
      <c r="F24" s="6" t="s">
        <v>286</v>
      </c>
      <c r="H24" s="6" t="s">
        <v>287</v>
      </c>
    </row>
    <row r="25" spans="1:11" ht="13">
      <c r="A25" s="122"/>
      <c r="B25" s="183"/>
      <c r="D25" s="179">
        <v>100.6</v>
      </c>
      <c r="F25" s="6" t="s">
        <v>288</v>
      </c>
    </row>
    <row r="26" spans="1:11" ht="13">
      <c r="A26" s="122"/>
      <c r="B26" s="183"/>
      <c r="D26" s="179">
        <v>101</v>
      </c>
      <c r="H26" s="160" t="s">
        <v>253</v>
      </c>
    </row>
    <row r="27" spans="1:11" ht="13">
      <c r="A27" s="122"/>
      <c r="B27" s="183"/>
      <c r="D27" s="179">
        <v>100.3</v>
      </c>
    </row>
    <row r="28" spans="1:11" ht="13">
      <c r="A28" s="122"/>
      <c r="B28" s="183"/>
      <c r="D28" s="179">
        <v>101.8</v>
      </c>
    </row>
    <row r="29" spans="1:11" ht="13">
      <c r="A29" s="122"/>
      <c r="B29" s="183"/>
      <c r="D29" s="179">
        <v>100</v>
      </c>
    </row>
    <row r="30" spans="1:11" ht="13">
      <c r="A30" s="122"/>
      <c r="B30" s="183"/>
      <c r="D30" s="179">
        <v>100.7</v>
      </c>
      <c r="K30" s="160" t="s">
        <v>253</v>
      </c>
    </row>
    <row r="31" spans="1:11" ht="13">
      <c r="A31" s="122"/>
      <c r="B31" s="183"/>
      <c r="D31" s="179">
        <v>100.4</v>
      </c>
    </row>
    <row r="32" spans="1:11" ht="13">
      <c r="A32" s="122"/>
      <c r="B32" s="183"/>
      <c r="D32" s="179">
        <v>100</v>
      </c>
    </row>
    <row r="33" spans="1:4" ht="13">
      <c r="A33" s="122"/>
      <c r="B33" s="183"/>
      <c r="D33" s="179">
        <v>101.3</v>
      </c>
    </row>
    <row r="34" spans="1:4">
      <c r="A34" s="122"/>
      <c r="B34" s="183"/>
    </row>
    <row r="35" spans="1:4">
      <c r="A35" s="122"/>
      <c r="B35" s="183"/>
    </row>
    <row r="36" spans="1:4">
      <c r="A36" s="122"/>
      <c r="B36" s="183"/>
    </row>
    <row r="37" spans="1:4">
      <c r="B37" s="183"/>
    </row>
    <row r="38" spans="1:4">
      <c r="B38" s="183"/>
    </row>
    <row r="39" spans="1:4">
      <c r="B39" s="183"/>
    </row>
    <row r="40" spans="1:4">
      <c r="B40" s="183"/>
    </row>
    <row r="41" spans="1:4">
      <c r="B41" s="183"/>
    </row>
    <row r="42" spans="1:4">
      <c r="B42" s="183"/>
    </row>
    <row r="43" spans="1:4">
      <c r="B43" s="183"/>
    </row>
    <row r="44" spans="1:4">
      <c r="B44" s="183"/>
    </row>
    <row r="45" spans="1:4">
      <c r="B45" s="183"/>
    </row>
    <row r="46" spans="1:4">
      <c r="B46" s="183"/>
    </row>
    <row r="47" spans="1:4">
      <c r="B47" s="183"/>
    </row>
    <row r="48" spans="1:4">
      <c r="B48" s="183"/>
    </row>
    <row r="49" spans="2:2">
      <c r="B49" s="183"/>
    </row>
    <row r="50" spans="2:2">
      <c r="B50" s="183"/>
    </row>
    <row r="51" spans="2:2">
      <c r="B51" s="183"/>
    </row>
    <row r="52" spans="2:2">
      <c r="B52" s="183"/>
    </row>
    <row r="53" spans="2:2">
      <c r="B53" s="183"/>
    </row>
    <row r="54" spans="2:2">
      <c r="B54" s="183"/>
    </row>
    <row r="55" spans="2:2">
      <c r="B55" s="183"/>
    </row>
    <row r="56" spans="2:2">
      <c r="B56" s="183"/>
    </row>
    <row r="57" spans="2:2">
      <c r="B57" s="183"/>
    </row>
    <row r="58" spans="2:2">
      <c r="B58" s="183"/>
    </row>
    <row r="59" spans="2:2">
      <c r="B59" s="183"/>
    </row>
    <row r="60" spans="2:2">
      <c r="B60" s="183"/>
    </row>
    <row r="61" spans="2:2">
      <c r="B61" s="183"/>
    </row>
    <row r="62" spans="2:2">
      <c r="B62" s="183"/>
    </row>
    <row r="63" spans="2:2">
      <c r="B63" s="183"/>
    </row>
    <row r="64" spans="2:2">
      <c r="B64" s="183"/>
    </row>
    <row r="65" spans="2:2">
      <c r="B65" s="183"/>
    </row>
    <row r="66" spans="2:2">
      <c r="B66" s="183"/>
    </row>
    <row r="67" spans="2:2">
      <c r="B67" s="183"/>
    </row>
    <row r="68" spans="2:2">
      <c r="B68" s="183"/>
    </row>
    <row r="69" spans="2:2">
      <c r="B69" s="183"/>
    </row>
    <row r="70" spans="2:2">
      <c r="B70" s="183"/>
    </row>
    <row r="71" spans="2:2">
      <c r="B71" s="183"/>
    </row>
    <row r="72" spans="2:2">
      <c r="B72" s="183"/>
    </row>
    <row r="73" spans="2:2">
      <c r="B73" s="183"/>
    </row>
    <row r="74" spans="2:2">
      <c r="B74" s="183"/>
    </row>
    <row r="75" spans="2:2">
      <c r="B75" s="183"/>
    </row>
    <row r="76" spans="2:2">
      <c r="B76" s="183"/>
    </row>
    <row r="77" spans="2:2">
      <c r="B77" s="183"/>
    </row>
    <row r="78" spans="2:2">
      <c r="B78" s="183"/>
    </row>
    <row r="79" spans="2:2">
      <c r="B79" s="183"/>
    </row>
    <row r="80" spans="2:2">
      <c r="B80" s="183"/>
    </row>
    <row r="81" spans="2:2">
      <c r="B81" s="183"/>
    </row>
    <row r="82" spans="2:2">
      <c r="B82" s="183"/>
    </row>
    <row r="83" spans="2:2">
      <c r="B83" s="183"/>
    </row>
    <row r="84" spans="2:2">
      <c r="B84" s="183"/>
    </row>
    <row r="85" spans="2:2">
      <c r="B85" s="183"/>
    </row>
    <row r="86" spans="2:2">
      <c r="B86" s="183"/>
    </row>
    <row r="87" spans="2:2">
      <c r="B87" s="183"/>
    </row>
    <row r="88" spans="2:2">
      <c r="B88" s="183"/>
    </row>
    <row r="89" spans="2:2">
      <c r="B89" s="183"/>
    </row>
    <row r="90" spans="2:2">
      <c r="B90" s="183"/>
    </row>
    <row r="91" spans="2:2">
      <c r="B91" s="183"/>
    </row>
    <row r="92" spans="2:2">
      <c r="B92" s="183"/>
    </row>
    <row r="93" spans="2:2">
      <c r="B93" s="183"/>
    </row>
    <row r="94" spans="2:2">
      <c r="B94" s="183"/>
    </row>
    <row r="95" spans="2:2">
      <c r="B95" s="183"/>
    </row>
    <row r="96" spans="2:2">
      <c r="B96" s="183"/>
    </row>
    <row r="97" spans="2:2">
      <c r="B97" s="183"/>
    </row>
    <row r="98" spans="2:2">
      <c r="B98" s="183"/>
    </row>
    <row r="99" spans="2:2">
      <c r="B99" s="183"/>
    </row>
    <row r="100" spans="2:2">
      <c r="B100" s="183"/>
    </row>
    <row r="101" spans="2:2">
      <c r="B101" s="183"/>
    </row>
    <row r="102" spans="2:2">
      <c r="B102" s="183"/>
    </row>
    <row r="103" spans="2:2">
      <c r="B103" s="183"/>
    </row>
    <row r="104" spans="2:2">
      <c r="B104" s="183"/>
    </row>
    <row r="105" spans="2:2">
      <c r="B105" s="183"/>
    </row>
    <row r="106" spans="2:2">
      <c r="B106" s="183"/>
    </row>
  </sheetData>
  <hyperlinks>
    <hyperlink ref="K15" r:id="rId1" xr:uid="{0DB71C6E-2A62-46BD-B96B-C63F953C3C72}"/>
  </hyperlinks>
  <pageMargins left="0.75" right="0.75" top="1" bottom="1" header="0.5" footer="0.5"/>
  <pageSetup orientation="portrait" r:id="rId2"/>
  <headerFooter alignWithMargins="0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63EB-5488-4A64-88D6-88AB6035AB82}">
  <dimension ref="A2:S65"/>
  <sheetViews>
    <sheetView zoomScale="60" zoomScaleNormal="60" workbookViewId="0"/>
  </sheetViews>
  <sheetFormatPr defaultRowHeight="12.5"/>
  <cols>
    <col min="1" max="1" width="5.453125" style="6" bestFit="1" customWidth="1"/>
    <col min="2" max="7" width="10.1796875" style="6" bestFit="1" customWidth="1"/>
    <col min="8" max="8" width="8.7265625" style="6"/>
    <col min="9" max="9" width="27.26953125" style="6" customWidth="1"/>
    <col min="10" max="10" width="18.90625" style="6" customWidth="1"/>
    <col min="11" max="11" width="23" style="6" customWidth="1"/>
    <col min="12" max="12" width="27.6328125" style="6" customWidth="1"/>
    <col min="13" max="13" width="15.453125" style="6" bestFit="1" customWidth="1"/>
    <col min="14" max="14" width="12.90625" style="6" bestFit="1" customWidth="1"/>
    <col min="15" max="15" width="6.1796875" style="6" customWidth="1"/>
    <col min="16" max="16" width="11.36328125" style="6" customWidth="1"/>
    <col min="17" max="17" width="8.7265625" style="6"/>
    <col min="18" max="18" width="13.90625" style="6" customWidth="1"/>
    <col min="19" max="19" width="19.7265625" style="6" customWidth="1"/>
    <col min="20" max="16384" width="8.7265625" style="6"/>
  </cols>
  <sheetData>
    <row r="2" spans="1:19" ht="15">
      <c r="A2" s="265" t="s">
        <v>289</v>
      </c>
      <c r="B2" s="268" t="s">
        <v>290</v>
      </c>
      <c r="C2" s="269"/>
      <c r="D2" s="269"/>
      <c r="E2" s="269"/>
      <c r="F2" s="269"/>
      <c r="G2" s="270"/>
      <c r="I2" s="187" t="s">
        <v>156</v>
      </c>
      <c r="J2" s="187" t="s">
        <v>193</v>
      </c>
      <c r="K2" s="187" t="s">
        <v>194</v>
      </c>
      <c r="L2" s="187" t="s">
        <v>195</v>
      </c>
      <c r="M2" s="187" t="s">
        <v>19</v>
      </c>
    </row>
    <row r="3" spans="1:19" ht="15.5">
      <c r="A3" s="266"/>
      <c r="B3" s="268" t="s">
        <v>14</v>
      </c>
      <c r="C3" s="270"/>
      <c r="D3" s="268" t="s">
        <v>15</v>
      </c>
      <c r="E3" s="270"/>
      <c r="F3" s="268" t="s">
        <v>16</v>
      </c>
      <c r="G3" s="270"/>
      <c r="I3" s="188" t="s">
        <v>291</v>
      </c>
      <c r="J3" s="188" t="s">
        <v>292</v>
      </c>
      <c r="K3" s="188" t="s">
        <v>293</v>
      </c>
      <c r="L3" s="188" t="s">
        <v>294</v>
      </c>
      <c r="M3" s="188" t="s">
        <v>295</v>
      </c>
    </row>
    <row r="4" spans="1:19" ht="15.5">
      <c r="A4" s="267"/>
      <c r="B4" s="189" t="s">
        <v>296</v>
      </c>
      <c r="C4" s="189" t="s">
        <v>297</v>
      </c>
      <c r="D4" s="189" t="s">
        <v>296</v>
      </c>
      <c r="E4" s="189" t="s">
        <v>297</v>
      </c>
      <c r="F4" s="189" t="s">
        <v>296</v>
      </c>
      <c r="G4" s="189" t="s">
        <v>297</v>
      </c>
      <c r="I4" s="188" t="s">
        <v>298</v>
      </c>
      <c r="J4" s="188" t="s">
        <v>299</v>
      </c>
      <c r="K4" s="188" t="s">
        <v>300</v>
      </c>
      <c r="L4" s="188" t="s">
        <v>301</v>
      </c>
      <c r="M4" s="188" t="s">
        <v>302</v>
      </c>
    </row>
    <row r="5" spans="1:19" ht="15.5">
      <c r="A5" s="190">
        <v>1</v>
      </c>
      <c r="B5" s="190">
        <v>65.2</v>
      </c>
      <c r="C5" s="190">
        <v>60.1</v>
      </c>
      <c r="D5" s="190">
        <v>62.9</v>
      </c>
      <c r="E5" s="190">
        <v>56.3</v>
      </c>
      <c r="F5" s="190">
        <v>71.599999999999994</v>
      </c>
      <c r="G5" s="190">
        <v>60.6</v>
      </c>
      <c r="I5" s="263" t="s">
        <v>303</v>
      </c>
      <c r="J5" s="263" t="s">
        <v>304</v>
      </c>
      <c r="K5" s="263" t="s">
        <v>305</v>
      </c>
      <c r="L5" s="263" t="s">
        <v>306</v>
      </c>
      <c r="M5" s="263" t="s">
        <v>307</v>
      </c>
      <c r="P5" s="192" t="s">
        <v>291</v>
      </c>
      <c r="Q5" s="192" t="s">
        <v>153</v>
      </c>
      <c r="R5" s="192" t="s">
        <v>308</v>
      </c>
      <c r="S5" s="192" t="s">
        <v>309</v>
      </c>
    </row>
    <row r="6" spans="1:19" ht="15.5">
      <c r="A6" s="190">
        <v>2</v>
      </c>
      <c r="B6" s="190">
        <v>85.8</v>
      </c>
      <c r="C6" s="190">
        <v>86.3</v>
      </c>
      <c r="D6" s="190">
        <v>85.7</v>
      </c>
      <c r="E6" s="190">
        <v>80.5</v>
      </c>
      <c r="F6" s="190">
        <v>92</v>
      </c>
      <c r="G6" s="190">
        <v>87.4</v>
      </c>
      <c r="I6" s="264"/>
      <c r="J6" s="264"/>
      <c r="K6" s="264"/>
      <c r="L6" s="264"/>
      <c r="M6" s="264"/>
      <c r="P6" s="193" t="s">
        <v>14</v>
      </c>
      <c r="Q6" s="146">
        <f>SUM(B5:C14)</f>
        <v>1710.2000000000005</v>
      </c>
      <c r="R6" s="146">
        <f>Q6^2</f>
        <v>2924784.0400000019</v>
      </c>
      <c r="S6" s="146">
        <f>R6/($I$11*$I$12)</f>
        <v>146239.20200000011</v>
      </c>
    </row>
    <row r="7" spans="1:19" ht="15.5">
      <c r="A7" s="190">
        <v>3</v>
      </c>
      <c r="B7" s="190">
        <v>100.2</v>
      </c>
      <c r="C7" s="190">
        <v>94.8</v>
      </c>
      <c r="D7" s="190">
        <v>100.1</v>
      </c>
      <c r="E7" s="190">
        <v>94.5</v>
      </c>
      <c r="F7" s="190">
        <v>107.3</v>
      </c>
      <c r="G7" s="190">
        <v>104.4</v>
      </c>
      <c r="I7" s="188" t="s">
        <v>310</v>
      </c>
      <c r="J7" s="188" t="s">
        <v>175</v>
      </c>
      <c r="K7" s="188" t="s">
        <v>311</v>
      </c>
      <c r="L7" s="188" t="s">
        <v>312</v>
      </c>
      <c r="M7" s="188"/>
      <c r="P7" s="194" t="s">
        <v>15</v>
      </c>
      <c r="Q7" s="146">
        <f>SUM(D5:E14)</f>
        <v>1657.7000000000003</v>
      </c>
      <c r="R7" s="146">
        <f t="shared" ref="R7:R8" si="0">Q7^2</f>
        <v>2747969.290000001</v>
      </c>
      <c r="S7" s="146">
        <f t="shared" ref="S7:S8" si="1">R7/($I$11*$I$12)</f>
        <v>137398.46450000006</v>
      </c>
    </row>
    <row r="8" spans="1:19" ht="15.5">
      <c r="A8" s="190">
        <v>4</v>
      </c>
      <c r="B8" s="190">
        <v>85</v>
      </c>
      <c r="C8" s="190">
        <v>95.1</v>
      </c>
      <c r="D8" s="190">
        <v>84.8</v>
      </c>
      <c r="E8" s="190">
        <v>90.3</v>
      </c>
      <c r="F8" s="190">
        <v>92.3</v>
      </c>
      <c r="G8" s="190">
        <v>94.6</v>
      </c>
      <c r="I8" s="188" t="s">
        <v>68</v>
      </c>
      <c r="J8" s="188" t="s">
        <v>178</v>
      </c>
      <c r="K8" s="188" t="s">
        <v>179</v>
      </c>
      <c r="L8" s="188"/>
      <c r="M8" s="188"/>
      <c r="P8" s="193" t="s">
        <v>16</v>
      </c>
      <c r="Q8" s="146">
        <f>SUM(F5:G14)</f>
        <v>1798</v>
      </c>
      <c r="R8" s="146">
        <f t="shared" si="0"/>
        <v>3232804</v>
      </c>
      <c r="S8" s="146">
        <f t="shared" si="1"/>
        <v>161640.20000000001</v>
      </c>
    </row>
    <row r="9" spans="1:19" ht="15.5">
      <c r="A9" s="190">
        <v>5</v>
      </c>
      <c r="B9" s="190">
        <v>54.7</v>
      </c>
      <c r="C9" s="190">
        <v>65.8</v>
      </c>
      <c r="D9" s="190">
        <v>51.7</v>
      </c>
      <c r="E9" s="190">
        <v>60</v>
      </c>
      <c r="F9" s="190">
        <v>58.9</v>
      </c>
      <c r="G9" s="190">
        <v>67.2</v>
      </c>
      <c r="R9" s="176" t="s">
        <v>68</v>
      </c>
      <c r="S9" s="6">
        <f>SUM(S6:S8)</f>
        <v>445277.86650000018</v>
      </c>
    </row>
    <row r="10" spans="1:19" ht="17.5">
      <c r="A10" s="190">
        <v>6</v>
      </c>
      <c r="B10" s="190">
        <v>98.7</v>
      </c>
      <c r="C10" s="190">
        <v>90.2</v>
      </c>
      <c r="D10" s="190">
        <v>92.7</v>
      </c>
      <c r="E10" s="190">
        <v>87.2</v>
      </c>
      <c r="F10" s="190">
        <v>98.9</v>
      </c>
      <c r="G10" s="190">
        <v>93.5</v>
      </c>
      <c r="I10" s="6">
        <f>COUNTA(B3:G3)</f>
        <v>3</v>
      </c>
      <c r="J10" s="195" t="s">
        <v>313</v>
      </c>
    </row>
    <row r="11" spans="1:19" ht="17.5">
      <c r="A11" s="190">
        <v>7</v>
      </c>
      <c r="B11" s="190">
        <v>94.5</v>
      </c>
      <c r="C11" s="190">
        <v>94.5</v>
      </c>
      <c r="D11" s="190">
        <v>91</v>
      </c>
      <c r="E11" s="190">
        <v>93.4</v>
      </c>
      <c r="F11" s="190">
        <v>95.4</v>
      </c>
      <c r="G11" s="190">
        <v>103.3</v>
      </c>
      <c r="I11" s="6">
        <f>COUNTA(A5:A14)</f>
        <v>10</v>
      </c>
      <c r="J11" s="195" t="s">
        <v>314</v>
      </c>
    </row>
    <row r="12" spans="1:19" ht="17.5">
      <c r="A12" s="190">
        <v>8</v>
      </c>
      <c r="B12" s="190">
        <v>87.2</v>
      </c>
      <c r="C12" s="190">
        <v>82.4</v>
      </c>
      <c r="D12" s="190">
        <v>83.9</v>
      </c>
      <c r="E12" s="190">
        <v>78.8</v>
      </c>
      <c r="F12" s="190">
        <v>93</v>
      </c>
      <c r="G12" s="190">
        <v>85.8</v>
      </c>
      <c r="I12" s="6">
        <f>COUNTA(B4:C4)</f>
        <v>2</v>
      </c>
      <c r="J12" s="195" t="s">
        <v>315</v>
      </c>
    </row>
    <row r="13" spans="1:19" ht="17.5">
      <c r="A13" s="190">
        <v>9</v>
      </c>
      <c r="B13" s="190">
        <v>82.4</v>
      </c>
      <c r="C13" s="190">
        <v>82.2</v>
      </c>
      <c r="D13" s="190">
        <v>80.7</v>
      </c>
      <c r="E13" s="190">
        <v>80.3</v>
      </c>
      <c r="F13" s="190">
        <v>87.9</v>
      </c>
      <c r="G13" s="190">
        <v>88.1</v>
      </c>
      <c r="I13" s="6">
        <f>COUNTA(B5:G14)</f>
        <v>60</v>
      </c>
      <c r="J13" s="195" t="s">
        <v>316</v>
      </c>
    </row>
    <row r="14" spans="1:19" ht="15.5">
      <c r="A14" s="190">
        <v>10</v>
      </c>
      <c r="B14" s="190">
        <v>100.2</v>
      </c>
      <c r="C14" s="190">
        <v>104.9</v>
      </c>
      <c r="D14" s="190">
        <v>99.7</v>
      </c>
      <c r="E14" s="190">
        <v>103.2</v>
      </c>
      <c r="F14" s="190">
        <v>104.3</v>
      </c>
      <c r="G14" s="190">
        <v>111.5</v>
      </c>
    </row>
    <row r="15" spans="1:19" ht="15">
      <c r="I15" s="187" t="s">
        <v>156</v>
      </c>
      <c r="J15" s="187" t="s">
        <v>193</v>
      </c>
      <c r="K15" s="187" t="s">
        <v>194</v>
      </c>
      <c r="L15" s="187" t="s">
        <v>195</v>
      </c>
      <c r="M15" s="196" t="s">
        <v>19</v>
      </c>
      <c r="N15" s="192" t="s">
        <v>317</v>
      </c>
    </row>
    <row r="16" spans="1:19" ht="15.5">
      <c r="I16" s="188" t="s">
        <v>291</v>
      </c>
      <c r="J16" s="197">
        <f>S9-SUM(B5:G14)^2/I13</f>
        <v>502.48633333371254</v>
      </c>
      <c r="K16" s="197">
        <f>I10-1</f>
        <v>2</v>
      </c>
      <c r="L16" s="197">
        <f>J16/K16</f>
        <v>251.24316666685627</v>
      </c>
      <c r="M16" s="198">
        <f>L16/$L$19</f>
        <v>13.783994586843546</v>
      </c>
      <c r="N16" s="194">
        <v>5.7000000000000003E-5</v>
      </c>
    </row>
    <row r="17" spans="1:19" ht="15.5">
      <c r="A17" s="265" t="s">
        <v>289</v>
      </c>
      <c r="B17" s="268" t="s">
        <v>290</v>
      </c>
      <c r="C17" s="269"/>
      <c r="D17" s="269"/>
      <c r="E17" s="269"/>
      <c r="F17" s="269"/>
      <c r="G17" s="270"/>
      <c r="I17" s="188" t="s">
        <v>298</v>
      </c>
      <c r="J17" s="197">
        <f>S28-SUM(B5:G14)^2/I13</f>
        <v>11545.491500000237</v>
      </c>
      <c r="K17" s="197">
        <f>I11-1</f>
        <v>9</v>
      </c>
      <c r="L17" s="197">
        <f t="shared" ref="L17:L19" si="2">J17/K17</f>
        <v>1282.8323888889151</v>
      </c>
      <c r="M17" s="198">
        <f t="shared" ref="M17:M18" si="3">L17/$L$19</f>
        <v>70.380241336947961</v>
      </c>
      <c r="N17" s="194">
        <v>0</v>
      </c>
      <c r="P17" s="192" t="s">
        <v>289</v>
      </c>
      <c r="Q17" s="192" t="s">
        <v>153</v>
      </c>
      <c r="R17" s="192" t="s">
        <v>308</v>
      </c>
      <c r="S17" s="192" t="s">
        <v>318</v>
      </c>
    </row>
    <row r="18" spans="1:19" ht="15.5" customHeight="1">
      <c r="A18" s="266"/>
      <c r="B18" s="268" t="s">
        <v>14</v>
      </c>
      <c r="C18" s="270"/>
      <c r="D18" s="268" t="s">
        <v>15</v>
      </c>
      <c r="E18" s="270"/>
      <c r="F18" s="268" t="s">
        <v>16</v>
      </c>
      <c r="G18" s="270"/>
      <c r="I18" s="191" t="s">
        <v>303</v>
      </c>
      <c r="J18" s="199">
        <f>S64-SUM(B5:G14)^2/I13-J16-J17</f>
        <v>35.61699999962002</v>
      </c>
      <c r="K18" s="199">
        <f>K16*K17</f>
        <v>18</v>
      </c>
      <c r="L18" s="197">
        <f t="shared" si="2"/>
        <v>1.9787222222011123</v>
      </c>
      <c r="M18" s="198">
        <f t="shared" si="3"/>
        <v>0.10855895808642192</v>
      </c>
      <c r="N18" s="194">
        <v>0.999996</v>
      </c>
      <c r="P18" s="194">
        <v>1</v>
      </c>
      <c r="Q18" s="146">
        <f t="shared" ref="Q18:Q27" si="4">SUM(B5:G5)</f>
        <v>376.70000000000005</v>
      </c>
      <c r="R18" s="146">
        <f>Q18^2</f>
        <v>141902.89000000004</v>
      </c>
      <c r="S18" s="146">
        <f>R18/($I$10*$I$12)</f>
        <v>23650.481666666674</v>
      </c>
    </row>
    <row r="19" spans="1:19" ht="15.5">
      <c r="A19" s="267"/>
      <c r="B19" s="189" t="s">
        <v>319</v>
      </c>
      <c r="C19" s="189" t="s">
        <v>320</v>
      </c>
      <c r="D19" s="189" t="s">
        <v>319</v>
      </c>
      <c r="E19" s="189" t="s">
        <v>320</v>
      </c>
      <c r="F19" s="189" t="s">
        <v>319</v>
      </c>
      <c r="G19" s="189" t="s">
        <v>320</v>
      </c>
      <c r="I19" s="188" t="s">
        <v>310</v>
      </c>
      <c r="J19" s="197">
        <f>J20-SUM(J16:J18)</f>
        <v>546.81500000006054</v>
      </c>
      <c r="K19" s="197">
        <f>I10*I11*(I12-1)</f>
        <v>30</v>
      </c>
      <c r="L19" s="197">
        <f t="shared" si="2"/>
        <v>18.227166666668683</v>
      </c>
      <c r="M19" s="200"/>
      <c r="N19" s="146"/>
      <c r="P19" s="194">
        <v>2</v>
      </c>
      <c r="Q19" s="146">
        <f t="shared" si="4"/>
        <v>517.70000000000005</v>
      </c>
      <c r="R19" s="146">
        <f t="shared" ref="R19:R27" si="5">Q19^2</f>
        <v>268013.29000000004</v>
      </c>
      <c r="S19" s="146">
        <f t="shared" ref="S19:S27" si="6">R19/($I$10*$I$12)</f>
        <v>44668.881666666675</v>
      </c>
    </row>
    <row r="20" spans="1:19" ht="15.5">
      <c r="A20" s="190">
        <v>1</v>
      </c>
      <c r="B20" s="201">
        <f>B5^2</f>
        <v>4251.04</v>
      </c>
      <c r="C20" s="201">
        <f t="shared" ref="C20:G20" si="7">C5^2</f>
        <v>3612.01</v>
      </c>
      <c r="D20" s="201">
        <f t="shared" si="7"/>
        <v>3956.41</v>
      </c>
      <c r="E20" s="201">
        <f t="shared" si="7"/>
        <v>3169.6899999999996</v>
      </c>
      <c r="F20" s="201">
        <f t="shared" si="7"/>
        <v>5126.5599999999995</v>
      </c>
      <c r="G20" s="201">
        <f t="shared" si="7"/>
        <v>3672.36</v>
      </c>
      <c r="I20" s="188" t="s">
        <v>68</v>
      </c>
      <c r="J20" s="197">
        <f>SUM(B20:G29)-SUM(B5:G14)^2/I13</f>
        <v>12630.40983333363</v>
      </c>
      <c r="K20" s="197">
        <f>I13-1</f>
        <v>59</v>
      </c>
      <c r="L20" s="188"/>
      <c r="M20" s="200"/>
      <c r="N20" s="146"/>
      <c r="P20" s="194">
        <v>3</v>
      </c>
      <c r="Q20" s="146">
        <f t="shared" si="4"/>
        <v>601.30000000000007</v>
      </c>
      <c r="R20" s="146">
        <f t="shared" si="5"/>
        <v>361561.69000000006</v>
      </c>
      <c r="S20" s="146">
        <f t="shared" si="6"/>
        <v>60260.281666666677</v>
      </c>
    </row>
    <row r="21" spans="1:19" ht="15.5">
      <c r="A21" s="190">
        <v>2</v>
      </c>
      <c r="B21" s="201">
        <f t="shared" ref="B21:G29" si="8">B6^2</f>
        <v>7361.6399999999994</v>
      </c>
      <c r="C21" s="201">
        <f t="shared" si="8"/>
        <v>7447.69</v>
      </c>
      <c r="D21" s="201">
        <f t="shared" si="8"/>
        <v>7344.4900000000007</v>
      </c>
      <c r="E21" s="201">
        <f t="shared" si="8"/>
        <v>6480.25</v>
      </c>
      <c r="F21" s="201">
        <f t="shared" si="8"/>
        <v>8464</v>
      </c>
      <c r="G21" s="201">
        <f t="shared" si="8"/>
        <v>7638.7600000000011</v>
      </c>
      <c r="P21" s="194">
        <v>4</v>
      </c>
      <c r="Q21" s="146">
        <f t="shared" si="4"/>
        <v>542.1</v>
      </c>
      <c r="R21" s="146">
        <f t="shared" si="5"/>
        <v>293872.41000000003</v>
      </c>
      <c r="S21" s="146">
        <f t="shared" si="6"/>
        <v>48978.735000000008</v>
      </c>
    </row>
    <row r="22" spans="1:19" ht="15.5">
      <c r="A22" s="190">
        <v>3</v>
      </c>
      <c r="B22" s="201">
        <f t="shared" si="8"/>
        <v>10040.040000000001</v>
      </c>
      <c r="C22" s="201">
        <f t="shared" si="8"/>
        <v>8987.0399999999991</v>
      </c>
      <c r="D22" s="201">
        <f t="shared" si="8"/>
        <v>10020.009999999998</v>
      </c>
      <c r="E22" s="201">
        <f t="shared" si="8"/>
        <v>8930.25</v>
      </c>
      <c r="F22" s="201">
        <f t="shared" si="8"/>
        <v>11513.289999999999</v>
      </c>
      <c r="G22" s="201">
        <f t="shared" si="8"/>
        <v>10899.36</v>
      </c>
      <c r="P22" s="194">
        <v>5</v>
      </c>
      <c r="Q22" s="146">
        <f t="shared" si="4"/>
        <v>358.29999999999995</v>
      </c>
      <c r="R22" s="146">
        <f t="shared" si="5"/>
        <v>128378.88999999997</v>
      </c>
      <c r="S22" s="146">
        <f t="shared" si="6"/>
        <v>21396.481666666663</v>
      </c>
    </row>
    <row r="23" spans="1:19" ht="15.5">
      <c r="A23" s="190">
        <v>4</v>
      </c>
      <c r="B23" s="201">
        <f t="shared" si="8"/>
        <v>7225</v>
      </c>
      <c r="C23" s="201">
        <f t="shared" si="8"/>
        <v>9044.0099999999984</v>
      </c>
      <c r="D23" s="201">
        <f t="shared" si="8"/>
        <v>7191.04</v>
      </c>
      <c r="E23" s="201">
        <f t="shared" si="8"/>
        <v>8154.0899999999992</v>
      </c>
      <c r="F23" s="201">
        <f t="shared" si="8"/>
        <v>8519.2899999999991</v>
      </c>
      <c r="G23" s="201">
        <f t="shared" si="8"/>
        <v>8949.159999999998</v>
      </c>
      <c r="I23" s="192" t="s">
        <v>156</v>
      </c>
      <c r="J23" s="192" t="s">
        <v>193</v>
      </c>
      <c r="K23" s="192" t="s">
        <v>194</v>
      </c>
      <c r="L23" s="192" t="s">
        <v>195</v>
      </c>
      <c r="M23" s="192" t="s">
        <v>19</v>
      </c>
      <c r="N23" s="192" t="s">
        <v>317</v>
      </c>
      <c r="O23" s="202"/>
      <c r="P23" s="194">
        <v>6</v>
      </c>
      <c r="Q23" s="146">
        <f t="shared" si="4"/>
        <v>561.20000000000005</v>
      </c>
      <c r="R23" s="146">
        <f t="shared" si="5"/>
        <v>314945.44000000006</v>
      </c>
      <c r="S23" s="146">
        <f t="shared" si="6"/>
        <v>52490.906666666677</v>
      </c>
    </row>
    <row r="24" spans="1:19" ht="15.5">
      <c r="A24" s="190">
        <v>5</v>
      </c>
      <c r="B24" s="201">
        <f t="shared" si="8"/>
        <v>2992.09</v>
      </c>
      <c r="C24" s="201">
        <f t="shared" si="8"/>
        <v>4329.6399999999994</v>
      </c>
      <c r="D24" s="201">
        <f t="shared" si="8"/>
        <v>2672.8900000000003</v>
      </c>
      <c r="E24" s="201">
        <f t="shared" si="8"/>
        <v>3600</v>
      </c>
      <c r="F24" s="201">
        <f t="shared" si="8"/>
        <v>3469.21</v>
      </c>
      <c r="G24" s="201">
        <f t="shared" si="8"/>
        <v>4515.84</v>
      </c>
      <c r="I24" s="203" t="s">
        <v>291</v>
      </c>
      <c r="J24" s="194">
        <v>502.5</v>
      </c>
      <c r="K24" s="194">
        <v>2</v>
      </c>
      <c r="L24" s="194">
        <v>251.3</v>
      </c>
      <c r="M24" s="194">
        <v>13.8</v>
      </c>
      <c r="N24" s="194">
        <v>5.7000000000000003E-5</v>
      </c>
      <c r="O24" s="204"/>
      <c r="P24" s="194">
        <v>7</v>
      </c>
      <c r="Q24" s="146">
        <f t="shared" si="4"/>
        <v>572.09999999999991</v>
      </c>
      <c r="R24" s="146">
        <f t="shared" si="5"/>
        <v>327298.40999999992</v>
      </c>
      <c r="S24" s="146">
        <f t="shared" si="6"/>
        <v>54549.734999999986</v>
      </c>
    </row>
    <row r="25" spans="1:19" ht="15.5">
      <c r="A25" s="190">
        <v>6</v>
      </c>
      <c r="B25" s="201">
        <f t="shared" si="8"/>
        <v>9741.69</v>
      </c>
      <c r="C25" s="201">
        <f t="shared" si="8"/>
        <v>8136.0400000000009</v>
      </c>
      <c r="D25" s="201">
        <f t="shared" si="8"/>
        <v>8593.2900000000009</v>
      </c>
      <c r="E25" s="201">
        <f t="shared" si="8"/>
        <v>7603.84</v>
      </c>
      <c r="F25" s="201">
        <f t="shared" si="8"/>
        <v>9781.2100000000009</v>
      </c>
      <c r="G25" s="201">
        <f t="shared" si="8"/>
        <v>8742.25</v>
      </c>
      <c r="I25" s="203" t="s">
        <v>298</v>
      </c>
      <c r="J25" s="205">
        <v>11545.5</v>
      </c>
      <c r="K25" s="194">
        <v>9</v>
      </c>
      <c r="L25" s="205">
        <v>1282.8</v>
      </c>
      <c r="M25" s="194">
        <v>70.400000000000006</v>
      </c>
      <c r="N25" s="194">
        <v>0</v>
      </c>
      <c r="O25" s="204"/>
      <c r="P25" s="194">
        <v>8</v>
      </c>
      <c r="Q25" s="146">
        <f t="shared" si="4"/>
        <v>511.1</v>
      </c>
      <c r="R25" s="146">
        <f t="shared" si="5"/>
        <v>261223.21000000002</v>
      </c>
      <c r="S25" s="146">
        <f t="shared" si="6"/>
        <v>43537.201666666668</v>
      </c>
    </row>
    <row r="26" spans="1:19" ht="15.5">
      <c r="A26" s="190">
        <v>7</v>
      </c>
      <c r="B26" s="201">
        <f t="shared" si="8"/>
        <v>8930.25</v>
      </c>
      <c r="C26" s="201">
        <f t="shared" si="8"/>
        <v>8930.25</v>
      </c>
      <c r="D26" s="201">
        <f t="shared" si="8"/>
        <v>8281</v>
      </c>
      <c r="E26" s="201">
        <f t="shared" si="8"/>
        <v>8723.5600000000013</v>
      </c>
      <c r="F26" s="201">
        <f t="shared" si="8"/>
        <v>9101.1600000000017</v>
      </c>
      <c r="G26" s="201">
        <f t="shared" si="8"/>
        <v>10670.89</v>
      </c>
      <c r="I26" s="191" t="s">
        <v>303</v>
      </c>
      <c r="J26" s="194">
        <v>35.6</v>
      </c>
      <c r="K26" s="194">
        <v>18</v>
      </c>
      <c r="L26" s="194">
        <v>1.98</v>
      </c>
      <c r="M26" s="194">
        <v>0.11</v>
      </c>
      <c r="N26" s="194">
        <v>0.999996</v>
      </c>
      <c r="O26" s="204"/>
      <c r="P26" s="194">
        <v>9</v>
      </c>
      <c r="Q26" s="146">
        <f t="shared" si="4"/>
        <v>501.6</v>
      </c>
      <c r="R26" s="146">
        <f t="shared" si="5"/>
        <v>251602.56000000003</v>
      </c>
      <c r="S26" s="146">
        <f t="shared" si="6"/>
        <v>41933.760000000002</v>
      </c>
    </row>
    <row r="27" spans="1:19" ht="15.5">
      <c r="A27" s="190">
        <v>8</v>
      </c>
      <c r="B27" s="201">
        <f t="shared" si="8"/>
        <v>7603.84</v>
      </c>
      <c r="C27" s="201">
        <f t="shared" si="8"/>
        <v>6789.7600000000011</v>
      </c>
      <c r="D27" s="201">
        <f t="shared" si="8"/>
        <v>7039.2100000000009</v>
      </c>
      <c r="E27" s="201">
        <f t="shared" si="8"/>
        <v>6209.44</v>
      </c>
      <c r="F27" s="201">
        <f t="shared" si="8"/>
        <v>8649</v>
      </c>
      <c r="G27" s="201">
        <f t="shared" si="8"/>
        <v>7361.6399999999994</v>
      </c>
      <c r="I27" s="203" t="s">
        <v>310</v>
      </c>
      <c r="J27" s="194">
        <v>546.79999999999995</v>
      </c>
      <c r="K27" s="194">
        <v>30</v>
      </c>
      <c r="L27" s="194">
        <v>18.2</v>
      </c>
      <c r="M27" s="194"/>
      <c r="N27" s="194"/>
      <c r="O27" s="204"/>
      <c r="P27" s="194">
        <v>10</v>
      </c>
      <c r="Q27" s="146">
        <f t="shared" si="4"/>
        <v>623.79999999999995</v>
      </c>
      <c r="R27" s="146">
        <f t="shared" si="5"/>
        <v>389126.43999999994</v>
      </c>
      <c r="S27" s="146">
        <f t="shared" si="6"/>
        <v>64854.406666666655</v>
      </c>
    </row>
    <row r="28" spans="1:19" ht="15.5">
      <c r="A28" s="190">
        <v>9</v>
      </c>
      <c r="B28" s="201">
        <f t="shared" si="8"/>
        <v>6789.7600000000011</v>
      </c>
      <c r="C28" s="201">
        <f t="shared" si="8"/>
        <v>6756.84</v>
      </c>
      <c r="D28" s="201">
        <f t="shared" si="8"/>
        <v>6512.4900000000007</v>
      </c>
      <c r="E28" s="201">
        <f t="shared" si="8"/>
        <v>6448.0899999999992</v>
      </c>
      <c r="F28" s="201">
        <f t="shared" si="8"/>
        <v>7726.4100000000008</v>
      </c>
      <c r="G28" s="201">
        <f t="shared" si="8"/>
        <v>7761.6099999999988</v>
      </c>
      <c r="I28" s="203" t="s">
        <v>68</v>
      </c>
      <c r="J28" s="205">
        <v>12630.4</v>
      </c>
      <c r="K28" s="194">
        <v>59</v>
      </c>
      <c r="L28" s="194">
        <v>214.1</v>
      </c>
      <c r="M28" s="194"/>
      <c r="N28" s="194"/>
      <c r="O28" s="204"/>
      <c r="R28" s="176" t="s">
        <v>68</v>
      </c>
      <c r="S28" s="206">
        <f>SUM(S18:S27)</f>
        <v>456320.8716666667</v>
      </c>
    </row>
    <row r="29" spans="1:19" ht="15.5">
      <c r="A29" s="190">
        <v>10</v>
      </c>
      <c r="B29" s="201">
        <f t="shared" si="8"/>
        <v>10040.040000000001</v>
      </c>
      <c r="C29" s="201">
        <f t="shared" si="8"/>
        <v>11004.010000000002</v>
      </c>
      <c r="D29" s="201">
        <f t="shared" si="8"/>
        <v>9940.09</v>
      </c>
      <c r="E29" s="201">
        <f t="shared" si="8"/>
        <v>10650.24</v>
      </c>
      <c r="F29" s="201">
        <f t="shared" si="8"/>
        <v>10878.49</v>
      </c>
      <c r="G29" s="201">
        <f t="shared" si="8"/>
        <v>12432.25</v>
      </c>
      <c r="O29" s="204"/>
    </row>
    <row r="33" spans="11:19" ht="15">
      <c r="K33" s="6" t="s">
        <v>321</v>
      </c>
      <c r="L33" s="6">
        <f>5.15*SQRT(L19)</f>
        <v>21.987042273046193</v>
      </c>
      <c r="O33" s="192" t="s">
        <v>289</v>
      </c>
      <c r="P33" s="192" t="s">
        <v>291</v>
      </c>
      <c r="Q33" s="192" t="s">
        <v>153</v>
      </c>
      <c r="R33" s="192" t="s">
        <v>308</v>
      </c>
      <c r="S33" s="192" t="s">
        <v>322</v>
      </c>
    </row>
    <row r="34" spans="11:19">
      <c r="O34" s="146">
        <v>1</v>
      </c>
      <c r="P34" s="207" t="s">
        <v>14</v>
      </c>
      <c r="Q34" s="208">
        <f>SUM(B5:C5)</f>
        <v>125.30000000000001</v>
      </c>
      <c r="R34" s="209">
        <f>Q34^2</f>
        <v>15700.090000000002</v>
      </c>
      <c r="S34" s="209">
        <f>R34/$I$12</f>
        <v>7850.045000000001</v>
      </c>
    </row>
    <row r="35" spans="11:19">
      <c r="O35" s="146">
        <v>2</v>
      </c>
      <c r="P35" s="207" t="s">
        <v>14</v>
      </c>
      <c r="Q35" s="208">
        <f t="shared" ref="Q35:Q43" si="9">SUM(B6:C6)</f>
        <v>172.1</v>
      </c>
      <c r="R35" s="209">
        <f t="shared" ref="R35:R63" si="10">Q35^2</f>
        <v>29618.41</v>
      </c>
      <c r="S35" s="209">
        <f t="shared" ref="S35:S63" si="11">R35/$I$12</f>
        <v>14809.205</v>
      </c>
    </row>
    <row r="36" spans="11:19">
      <c r="O36" s="146">
        <v>3</v>
      </c>
      <c r="P36" s="207" t="s">
        <v>14</v>
      </c>
      <c r="Q36" s="208">
        <f t="shared" si="9"/>
        <v>195</v>
      </c>
      <c r="R36" s="209">
        <f t="shared" si="10"/>
        <v>38025</v>
      </c>
      <c r="S36" s="209">
        <f t="shared" si="11"/>
        <v>19012.5</v>
      </c>
    </row>
    <row r="37" spans="11:19">
      <c r="O37" s="146">
        <v>4</v>
      </c>
      <c r="P37" s="207" t="s">
        <v>14</v>
      </c>
      <c r="Q37" s="208">
        <f t="shared" si="9"/>
        <v>180.1</v>
      </c>
      <c r="R37" s="209">
        <f t="shared" si="10"/>
        <v>32436.01</v>
      </c>
      <c r="S37" s="209">
        <f t="shared" si="11"/>
        <v>16218.004999999999</v>
      </c>
    </row>
    <row r="38" spans="11:19">
      <c r="O38" s="146">
        <v>5</v>
      </c>
      <c r="P38" s="207" t="s">
        <v>14</v>
      </c>
      <c r="Q38" s="208">
        <f t="shared" si="9"/>
        <v>120.5</v>
      </c>
      <c r="R38" s="209">
        <f t="shared" si="10"/>
        <v>14520.25</v>
      </c>
      <c r="S38" s="209">
        <f t="shared" si="11"/>
        <v>7260.125</v>
      </c>
    </row>
    <row r="39" spans="11:19">
      <c r="K39" s="6" t="s">
        <v>323</v>
      </c>
      <c r="L39" s="6">
        <f>5.15*SQRT((L16-L18)/(I11*I12))</f>
        <v>18.18119389339348</v>
      </c>
      <c r="O39" s="146">
        <v>6</v>
      </c>
      <c r="P39" s="207" t="s">
        <v>14</v>
      </c>
      <c r="Q39" s="208">
        <f t="shared" si="9"/>
        <v>188.9</v>
      </c>
      <c r="R39" s="209">
        <f t="shared" si="10"/>
        <v>35683.21</v>
      </c>
      <c r="S39" s="209">
        <f t="shared" si="11"/>
        <v>17841.605</v>
      </c>
    </row>
    <row r="40" spans="11:19">
      <c r="O40" s="146">
        <v>7</v>
      </c>
      <c r="P40" s="207" t="s">
        <v>14</v>
      </c>
      <c r="Q40" s="208">
        <f t="shared" si="9"/>
        <v>189</v>
      </c>
      <c r="R40" s="209">
        <f t="shared" si="10"/>
        <v>35721</v>
      </c>
      <c r="S40" s="209">
        <f t="shared" si="11"/>
        <v>17860.5</v>
      </c>
    </row>
    <row r="41" spans="11:19">
      <c r="K41" s="6" t="s">
        <v>324</v>
      </c>
      <c r="O41" s="146">
        <v>8</v>
      </c>
      <c r="P41" s="207" t="s">
        <v>14</v>
      </c>
      <c r="Q41" s="208">
        <f t="shared" si="9"/>
        <v>169.60000000000002</v>
      </c>
      <c r="R41" s="209">
        <f t="shared" si="10"/>
        <v>28764.160000000007</v>
      </c>
      <c r="S41" s="209">
        <f t="shared" si="11"/>
        <v>14382.080000000004</v>
      </c>
    </row>
    <row r="42" spans="11:19">
      <c r="O42" s="146">
        <v>9</v>
      </c>
      <c r="P42" s="207" t="s">
        <v>14</v>
      </c>
      <c r="Q42" s="208">
        <f t="shared" si="9"/>
        <v>164.60000000000002</v>
      </c>
      <c r="R42" s="209">
        <f t="shared" si="10"/>
        <v>27093.160000000007</v>
      </c>
      <c r="S42" s="209">
        <f t="shared" si="11"/>
        <v>13546.580000000004</v>
      </c>
    </row>
    <row r="43" spans="11:19">
      <c r="O43" s="146">
        <v>10</v>
      </c>
      <c r="P43" s="207" t="s">
        <v>14</v>
      </c>
      <c r="Q43" s="208">
        <f t="shared" si="9"/>
        <v>205.10000000000002</v>
      </c>
      <c r="R43" s="209">
        <f t="shared" si="10"/>
        <v>42066.010000000009</v>
      </c>
      <c r="S43" s="209">
        <f t="shared" si="11"/>
        <v>21033.005000000005</v>
      </c>
    </row>
    <row r="44" spans="11:19">
      <c r="O44" s="146">
        <v>1</v>
      </c>
      <c r="P44" s="207" t="s">
        <v>15</v>
      </c>
      <c r="Q44" s="208">
        <f>SUM(D5:E5)</f>
        <v>119.19999999999999</v>
      </c>
      <c r="R44" s="209">
        <f t="shared" si="10"/>
        <v>14208.639999999998</v>
      </c>
      <c r="S44" s="209">
        <f t="shared" si="11"/>
        <v>7104.3199999999988</v>
      </c>
    </row>
    <row r="45" spans="11:19">
      <c r="O45" s="146">
        <v>2</v>
      </c>
      <c r="P45" s="207" t="s">
        <v>15</v>
      </c>
      <c r="Q45" s="208">
        <f t="shared" ref="Q45:Q53" si="12">SUM(D6:E6)</f>
        <v>166.2</v>
      </c>
      <c r="R45" s="209">
        <f t="shared" si="10"/>
        <v>27622.439999999995</v>
      </c>
      <c r="S45" s="209">
        <f t="shared" si="11"/>
        <v>13811.219999999998</v>
      </c>
    </row>
    <row r="46" spans="11:19">
      <c r="K46" s="6" t="s">
        <v>325</v>
      </c>
      <c r="L46" s="6" t="e">
        <f>5.15*SQRT(L18-L19)/I12</f>
        <v>#NUM!</v>
      </c>
      <c r="O46" s="146">
        <v>3</v>
      </c>
      <c r="P46" s="207" t="s">
        <v>15</v>
      </c>
      <c r="Q46" s="208">
        <f t="shared" si="12"/>
        <v>194.6</v>
      </c>
      <c r="R46" s="209">
        <f t="shared" si="10"/>
        <v>37869.159999999996</v>
      </c>
      <c r="S46" s="209">
        <f t="shared" si="11"/>
        <v>18934.579999999998</v>
      </c>
    </row>
    <row r="47" spans="11:19">
      <c r="O47" s="146">
        <v>4</v>
      </c>
      <c r="P47" s="207" t="s">
        <v>15</v>
      </c>
      <c r="Q47" s="208">
        <f t="shared" si="12"/>
        <v>175.1</v>
      </c>
      <c r="R47" s="209">
        <f t="shared" si="10"/>
        <v>30660.01</v>
      </c>
      <c r="S47" s="209">
        <f t="shared" si="11"/>
        <v>15330.004999999999</v>
      </c>
    </row>
    <row r="48" spans="11:19">
      <c r="K48" s="6" t="s">
        <v>326</v>
      </c>
      <c r="O48" s="146">
        <v>5</v>
      </c>
      <c r="P48" s="207" t="s">
        <v>15</v>
      </c>
      <c r="Q48" s="208">
        <f t="shared" si="12"/>
        <v>111.7</v>
      </c>
      <c r="R48" s="209">
        <f t="shared" si="10"/>
        <v>12476.890000000001</v>
      </c>
      <c r="S48" s="209">
        <f t="shared" si="11"/>
        <v>6238.4450000000006</v>
      </c>
    </row>
    <row r="49" spans="11:19">
      <c r="O49" s="146">
        <v>6</v>
      </c>
      <c r="P49" s="207" t="s">
        <v>15</v>
      </c>
      <c r="Q49" s="208">
        <f t="shared" si="12"/>
        <v>179.9</v>
      </c>
      <c r="R49" s="209">
        <f t="shared" si="10"/>
        <v>32364.010000000002</v>
      </c>
      <c r="S49" s="209">
        <f t="shared" si="11"/>
        <v>16182.005000000001</v>
      </c>
    </row>
    <row r="50" spans="11:19">
      <c r="O50" s="146">
        <v>7</v>
      </c>
      <c r="P50" s="207" t="s">
        <v>15</v>
      </c>
      <c r="Q50" s="208">
        <f t="shared" si="12"/>
        <v>184.4</v>
      </c>
      <c r="R50" s="209">
        <f t="shared" si="10"/>
        <v>34003.360000000001</v>
      </c>
      <c r="S50" s="209">
        <f t="shared" si="11"/>
        <v>17001.68</v>
      </c>
    </row>
    <row r="51" spans="11:19">
      <c r="O51" s="146">
        <v>8</v>
      </c>
      <c r="P51" s="207" t="s">
        <v>15</v>
      </c>
      <c r="Q51" s="208">
        <f t="shared" si="12"/>
        <v>162.69999999999999</v>
      </c>
      <c r="R51" s="209">
        <f t="shared" si="10"/>
        <v>26471.289999999997</v>
      </c>
      <c r="S51" s="209">
        <f t="shared" si="11"/>
        <v>13235.644999999999</v>
      </c>
    </row>
    <row r="52" spans="11:19">
      <c r="K52" s="6" t="s">
        <v>327</v>
      </c>
      <c r="L52" s="6">
        <f>SQRT(L33^2+L39^2+IFERROR(L46,0))</f>
        <v>28.530437068259026</v>
      </c>
      <c r="O52" s="146">
        <v>9</v>
      </c>
      <c r="P52" s="207" t="s">
        <v>15</v>
      </c>
      <c r="Q52" s="208">
        <f t="shared" si="12"/>
        <v>161</v>
      </c>
      <c r="R52" s="209">
        <f t="shared" si="10"/>
        <v>25921</v>
      </c>
      <c r="S52" s="209">
        <f t="shared" si="11"/>
        <v>12960.5</v>
      </c>
    </row>
    <row r="53" spans="11:19">
      <c r="K53" s="6" t="s">
        <v>328</v>
      </c>
      <c r="O53" s="146">
        <v>10</v>
      </c>
      <c r="P53" s="207" t="s">
        <v>15</v>
      </c>
      <c r="Q53" s="208">
        <f t="shared" si="12"/>
        <v>202.9</v>
      </c>
      <c r="R53" s="209">
        <f t="shared" si="10"/>
        <v>41168.410000000003</v>
      </c>
      <c r="S53" s="209">
        <f t="shared" si="11"/>
        <v>20584.205000000002</v>
      </c>
    </row>
    <row r="54" spans="11:19">
      <c r="O54" s="146">
        <v>1</v>
      </c>
      <c r="P54" s="207" t="s">
        <v>16</v>
      </c>
      <c r="Q54" s="208">
        <f>SUM(F5:G5)</f>
        <v>132.19999999999999</v>
      </c>
      <c r="R54" s="209">
        <f t="shared" si="10"/>
        <v>17476.839999999997</v>
      </c>
      <c r="S54" s="209">
        <f t="shared" si="11"/>
        <v>8738.4199999999983</v>
      </c>
    </row>
    <row r="55" spans="11:19">
      <c r="O55" s="146">
        <v>2</v>
      </c>
      <c r="P55" s="207" t="s">
        <v>16</v>
      </c>
      <c r="Q55" s="208">
        <f t="shared" ref="Q55:Q63" si="13">SUM(F6:G6)</f>
        <v>179.4</v>
      </c>
      <c r="R55" s="209">
        <f t="shared" si="10"/>
        <v>32184.36</v>
      </c>
      <c r="S55" s="209">
        <f t="shared" si="11"/>
        <v>16092.18</v>
      </c>
    </row>
    <row r="56" spans="11:19">
      <c r="O56" s="146">
        <v>3</v>
      </c>
      <c r="P56" s="207" t="s">
        <v>16</v>
      </c>
      <c r="Q56" s="208">
        <f t="shared" si="13"/>
        <v>211.7</v>
      </c>
      <c r="R56" s="209">
        <f t="shared" si="10"/>
        <v>44816.889999999992</v>
      </c>
      <c r="S56" s="209">
        <f t="shared" si="11"/>
        <v>22408.444999999996</v>
      </c>
    </row>
    <row r="57" spans="11:19">
      <c r="O57" s="146">
        <v>4</v>
      </c>
      <c r="P57" s="207" t="s">
        <v>16</v>
      </c>
      <c r="Q57" s="208">
        <f t="shared" si="13"/>
        <v>186.89999999999998</v>
      </c>
      <c r="R57" s="209">
        <f t="shared" si="10"/>
        <v>34931.609999999993</v>
      </c>
      <c r="S57" s="209">
        <f t="shared" si="11"/>
        <v>17465.804999999997</v>
      </c>
    </row>
    <row r="58" spans="11:19">
      <c r="O58" s="146">
        <v>5</v>
      </c>
      <c r="P58" s="207" t="s">
        <v>16</v>
      </c>
      <c r="Q58" s="208">
        <f t="shared" si="13"/>
        <v>126.1</v>
      </c>
      <c r="R58" s="209">
        <f t="shared" si="10"/>
        <v>15901.21</v>
      </c>
      <c r="S58" s="209">
        <f t="shared" si="11"/>
        <v>7950.6049999999996</v>
      </c>
    </row>
    <row r="59" spans="11:19">
      <c r="K59" s="6" t="s">
        <v>329</v>
      </c>
      <c r="L59" s="6">
        <f>5.15*SQRT((L17-L18)/(I10*I12))</f>
        <v>75.245643699118247</v>
      </c>
      <c r="O59" s="146">
        <v>6</v>
      </c>
      <c r="P59" s="207" t="s">
        <v>16</v>
      </c>
      <c r="Q59" s="208">
        <f t="shared" si="13"/>
        <v>192.4</v>
      </c>
      <c r="R59" s="209">
        <f t="shared" si="10"/>
        <v>37017.760000000002</v>
      </c>
      <c r="S59" s="209">
        <f t="shared" si="11"/>
        <v>18508.88</v>
      </c>
    </row>
    <row r="60" spans="11:19">
      <c r="K60" s="6" t="s">
        <v>330</v>
      </c>
      <c r="O60" s="146">
        <v>7</v>
      </c>
      <c r="P60" s="207" t="s">
        <v>16</v>
      </c>
      <c r="Q60" s="208">
        <f t="shared" si="13"/>
        <v>198.7</v>
      </c>
      <c r="R60" s="209">
        <f t="shared" si="10"/>
        <v>39481.689999999995</v>
      </c>
      <c r="S60" s="209">
        <f t="shared" si="11"/>
        <v>19740.844999999998</v>
      </c>
    </row>
    <row r="61" spans="11:19">
      <c r="O61" s="146">
        <v>8</v>
      </c>
      <c r="P61" s="207" t="s">
        <v>16</v>
      </c>
      <c r="Q61" s="208">
        <f t="shared" si="13"/>
        <v>178.8</v>
      </c>
      <c r="R61" s="209">
        <f t="shared" si="10"/>
        <v>31969.440000000002</v>
      </c>
      <c r="S61" s="209">
        <f t="shared" si="11"/>
        <v>15984.720000000001</v>
      </c>
    </row>
    <row r="62" spans="11:19">
      <c r="O62" s="146">
        <v>9</v>
      </c>
      <c r="P62" s="207" t="s">
        <v>16</v>
      </c>
      <c r="Q62" s="208">
        <f t="shared" si="13"/>
        <v>176</v>
      </c>
      <c r="R62" s="209">
        <f t="shared" si="10"/>
        <v>30976</v>
      </c>
      <c r="S62" s="209">
        <f t="shared" si="11"/>
        <v>15488</v>
      </c>
    </row>
    <row r="63" spans="11:19">
      <c r="O63" s="146">
        <v>10</v>
      </c>
      <c r="P63" s="207" t="s">
        <v>16</v>
      </c>
      <c r="Q63" s="208">
        <f t="shared" si="13"/>
        <v>215.8</v>
      </c>
      <c r="R63" s="209">
        <f t="shared" si="10"/>
        <v>46569.640000000007</v>
      </c>
      <c r="S63" s="209">
        <f t="shared" si="11"/>
        <v>23284.820000000003</v>
      </c>
    </row>
    <row r="64" spans="11:19">
      <c r="S64" s="185">
        <f>SUM(S34:S63)</f>
        <v>456858.97500000003</v>
      </c>
    </row>
    <row r="65" spans="11:12">
      <c r="K65" s="6" t="s">
        <v>331</v>
      </c>
      <c r="L65" s="6">
        <f>SQRT(L52^2 + L59^2)</f>
        <v>80.472931691349132</v>
      </c>
    </row>
  </sheetData>
  <mergeCells count="15">
    <mergeCell ref="A2:A4"/>
    <mergeCell ref="B2:G2"/>
    <mergeCell ref="B3:C3"/>
    <mergeCell ref="D3:E3"/>
    <mergeCell ref="F3:G3"/>
    <mergeCell ref="J5:J6"/>
    <mergeCell ref="K5:K6"/>
    <mergeCell ref="L5:L6"/>
    <mergeCell ref="M5:M6"/>
    <mergeCell ref="A17:A19"/>
    <mergeCell ref="B17:G17"/>
    <mergeCell ref="B18:C18"/>
    <mergeCell ref="D18:E18"/>
    <mergeCell ref="F18:G18"/>
    <mergeCell ref="I5:I6"/>
  </mergeCells>
  <pageMargins left="0.7" right="0.7" top="0.75" bottom="0.75" header="0.3" footer="0.3"/>
  <pageSetup paperSize="9" orientation="portrait" horizontalDpi="300" verticalDpi="0" r:id="rId1"/>
  <ignoredErrors>
    <ignoredError sqref="Q18:Q27 Q34:Q63" formulaRange="1"/>
  </ignoredError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9EAAF-579A-47FB-B945-A97613803C59}">
  <dimension ref="A1:U24"/>
  <sheetViews>
    <sheetView zoomScale="75" zoomScaleNormal="75" workbookViewId="0">
      <selection activeCell="C23" sqref="C23"/>
    </sheetView>
  </sheetViews>
  <sheetFormatPr defaultRowHeight="15.5"/>
  <cols>
    <col min="1" max="1" width="17.36328125" style="158" customWidth="1"/>
    <col min="2" max="2" width="13.6328125" style="158" customWidth="1"/>
    <col min="3" max="3" width="13.08984375" style="158" bestFit="1" customWidth="1"/>
    <col min="4" max="6" width="8.7265625" style="158"/>
    <col min="7" max="7" width="8.6328125" style="158" customWidth="1"/>
    <col min="8" max="8" width="9.453125" style="158" customWidth="1"/>
    <col min="9" max="9" width="17" style="158" customWidth="1"/>
    <col min="10" max="16" width="8.7265625" style="158"/>
    <col min="17" max="17" width="10.81640625" style="158" customWidth="1"/>
    <col min="18" max="18" width="8.7265625" style="158"/>
    <col min="19" max="19" width="7.26953125" style="158" customWidth="1"/>
    <col min="20" max="250" width="8.7265625" style="158"/>
    <col min="251" max="251" width="14.453125" style="158" customWidth="1"/>
    <col min="252" max="252" width="11.7265625" style="158" customWidth="1"/>
    <col min="253" max="506" width="8.7265625" style="158"/>
    <col min="507" max="507" width="14.453125" style="158" customWidth="1"/>
    <col min="508" max="508" width="11.7265625" style="158" customWidth="1"/>
    <col min="509" max="762" width="8.7265625" style="158"/>
    <col min="763" max="763" width="14.453125" style="158" customWidth="1"/>
    <col min="764" max="764" width="11.7265625" style="158" customWidth="1"/>
    <col min="765" max="1018" width="8.7265625" style="158"/>
    <col min="1019" max="1019" width="14.453125" style="158" customWidth="1"/>
    <col min="1020" max="1020" width="11.7265625" style="158" customWidth="1"/>
    <col min="1021" max="1274" width="8.7265625" style="158"/>
    <col min="1275" max="1275" width="14.453125" style="158" customWidth="1"/>
    <col min="1276" max="1276" width="11.7265625" style="158" customWidth="1"/>
    <col min="1277" max="1530" width="8.7265625" style="158"/>
    <col min="1531" max="1531" width="14.453125" style="158" customWidth="1"/>
    <col min="1532" max="1532" width="11.7265625" style="158" customWidth="1"/>
    <col min="1533" max="1786" width="8.7265625" style="158"/>
    <col min="1787" max="1787" width="14.453125" style="158" customWidth="1"/>
    <col min="1788" max="1788" width="11.7265625" style="158" customWidth="1"/>
    <col min="1789" max="2042" width="8.7265625" style="158"/>
    <col min="2043" max="2043" width="14.453125" style="158" customWidth="1"/>
    <col min="2044" max="2044" width="11.7265625" style="158" customWidth="1"/>
    <col min="2045" max="2298" width="8.7265625" style="158"/>
    <col min="2299" max="2299" width="14.453125" style="158" customWidth="1"/>
    <col min="2300" max="2300" width="11.7265625" style="158" customWidth="1"/>
    <col min="2301" max="2554" width="8.7265625" style="158"/>
    <col min="2555" max="2555" width="14.453125" style="158" customWidth="1"/>
    <col min="2556" max="2556" width="11.7265625" style="158" customWidth="1"/>
    <col min="2557" max="2810" width="8.7265625" style="158"/>
    <col min="2811" max="2811" width="14.453125" style="158" customWidth="1"/>
    <col min="2812" max="2812" width="11.7265625" style="158" customWidth="1"/>
    <col min="2813" max="3066" width="8.7265625" style="158"/>
    <col min="3067" max="3067" width="14.453125" style="158" customWidth="1"/>
    <col min="3068" max="3068" width="11.7265625" style="158" customWidth="1"/>
    <col min="3069" max="3322" width="8.7265625" style="158"/>
    <col min="3323" max="3323" width="14.453125" style="158" customWidth="1"/>
    <col min="3324" max="3324" width="11.7265625" style="158" customWidth="1"/>
    <col min="3325" max="3578" width="8.7265625" style="158"/>
    <col min="3579" max="3579" width="14.453125" style="158" customWidth="1"/>
    <col min="3580" max="3580" width="11.7265625" style="158" customWidth="1"/>
    <col min="3581" max="3834" width="8.7265625" style="158"/>
    <col min="3835" max="3835" width="14.453125" style="158" customWidth="1"/>
    <col min="3836" max="3836" width="11.7265625" style="158" customWidth="1"/>
    <col min="3837" max="4090" width="8.7265625" style="158"/>
    <col min="4091" max="4091" width="14.453125" style="158" customWidth="1"/>
    <col min="4092" max="4092" width="11.7265625" style="158" customWidth="1"/>
    <col min="4093" max="4346" width="8.7265625" style="158"/>
    <col min="4347" max="4347" width="14.453125" style="158" customWidth="1"/>
    <col min="4348" max="4348" width="11.7265625" style="158" customWidth="1"/>
    <col min="4349" max="4602" width="8.7265625" style="158"/>
    <col min="4603" max="4603" width="14.453125" style="158" customWidth="1"/>
    <col min="4604" max="4604" width="11.7265625" style="158" customWidth="1"/>
    <col min="4605" max="4858" width="8.7265625" style="158"/>
    <col min="4859" max="4859" width="14.453125" style="158" customWidth="1"/>
    <col min="4860" max="4860" width="11.7265625" style="158" customWidth="1"/>
    <col min="4861" max="5114" width="8.7265625" style="158"/>
    <col min="5115" max="5115" width="14.453125" style="158" customWidth="1"/>
    <col min="5116" max="5116" width="11.7265625" style="158" customWidth="1"/>
    <col min="5117" max="5370" width="8.7265625" style="158"/>
    <col min="5371" max="5371" width="14.453125" style="158" customWidth="1"/>
    <col min="5372" max="5372" width="11.7265625" style="158" customWidth="1"/>
    <col min="5373" max="5626" width="8.7265625" style="158"/>
    <col min="5627" max="5627" width="14.453125" style="158" customWidth="1"/>
    <col min="5628" max="5628" width="11.7265625" style="158" customWidth="1"/>
    <col min="5629" max="5882" width="8.7265625" style="158"/>
    <col min="5883" max="5883" width="14.453125" style="158" customWidth="1"/>
    <col min="5884" max="5884" width="11.7265625" style="158" customWidth="1"/>
    <col min="5885" max="6138" width="8.7265625" style="158"/>
    <col min="6139" max="6139" width="14.453125" style="158" customWidth="1"/>
    <col min="6140" max="6140" width="11.7265625" style="158" customWidth="1"/>
    <col min="6141" max="6394" width="8.7265625" style="158"/>
    <col min="6395" max="6395" width="14.453125" style="158" customWidth="1"/>
    <col min="6396" max="6396" width="11.7265625" style="158" customWidth="1"/>
    <col min="6397" max="6650" width="8.7265625" style="158"/>
    <col min="6651" max="6651" width="14.453125" style="158" customWidth="1"/>
    <col min="6652" max="6652" width="11.7265625" style="158" customWidth="1"/>
    <col min="6653" max="6906" width="8.7265625" style="158"/>
    <col min="6907" max="6907" width="14.453125" style="158" customWidth="1"/>
    <col min="6908" max="6908" width="11.7265625" style="158" customWidth="1"/>
    <col min="6909" max="7162" width="8.7265625" style="158"/>
    <col min="7163" max="7163" width="14.453125" style="158" customWidth="1"/>
    <col min="7164" max="7164" width="11.7265625" style="158" customWidth="1"/>
    <col min="7165" max="7418" width="8.7265625" style="158"/>
    <col min="7419" max="7419" width="14.453125" style="158" customWidth="1"/>
    <col min="7420" max="7420" width="11.7265625" style="158" customWidth="1"/>
    <col min="7421" max="7674" width="8.7265625" style="158"/>
    <col min="7675" max="7675" width="14.453125" style="158" customWidth="1"/>
    <col min="7676" max="7676" width="11.7265625" style="158" customWidth="1"/>
    <col min="7677" max="7930" width="8.7265625" style="158"/>
    <col min="7931" max="7931" width="14.453125" style="158" customWidth="1"/>
    <col min="7932" max="7932" width="11.7265625" style="158" customWidth="1"/>
    <col min="7933" max="8186" width="8.7265625" style="158"/>
    <col min="8187" max="8187" width="14.453125" style="158" customWidth="1"/>
    <col min="8188" max="8188" width="11.7265625" style="158" customWidth="1"/>
    <col min="8189" max="8442" width="8.7265625" style="158"/>
    <col min="8443" max="8443" width="14.453125" style="158" customWidth="1"/>
    <col min="8444" max="8444" width="11.7265625" style="158" customWidth="1"/>
    <col min="8445" max="8698" width="8.7265625" style="158"/>
    <col min="8699" max="8699" width="14.453125" style="158" customWidth="1"/>
    <col min="8700" max="8700" width="11.7265625" style="158" customWidth="1"/>
    <col min="8701" max="8954" width="8.7265625" style="158"/>
    <col min="8955" max="8955" width="14.453125" style="158" customWidth="1"/>
    <col min="8956" max="8956" width="11.7265625" style="158" customWidth="1"/>
    <col min="8957" max="9210" width="8.7265625" style="158"/>
    <col min="9211" max="9211" width="14.453125" style="158" customWidth="1"/>
    <col min="9212" max="9212" width="11.7265625" style="158" customWidth="1"/>
    <col min="9213" max="9466" width="8.7265625" style="158"/>
    <col min="9467" max="9467" width="14.453125" style="158" customWidth="1"/>
    <col min="9468" max="9468" width="11.7265625" style="158" customWidth="1"/>
    <col min="9469" max="9722" width="8.7265625" style="158"/>
    <col min="9723" max="9723" width="14.453125" style="158" customWidth="1"/>
    <col min="9724" max="9724" width="11.7265625" style="158" customWidth="1"/>
    <col min="9725" max="9978" width="8.7265625" style="158"/>
    <col min="9979" max="9979" width="14.453125" style="158" customWidth="1"/>
    <col min="9980" max="9980" width="11.7265625" style="158" customWidth="1"/>
    <col min="9981" max="10234" width="8.7265625" style="158"/>
    <col min="10235" max="10235" width="14.453125" style="158" customWidth="1"/>
    <col min="10236" max="10236" width="11.7265625" style="158" customWidth="1"/>
    <col min="10237" max="10490" width="8.7265625" style="158"/>
    <col min="10491" max="10491" width="14.453125" style="158" customWidth="1"/>
    <col min="10492" max="10492" width="11.7265625" style="158" customWidth="1"/>
    <col min="10493" max="10746" width="8.7265625" style="158"/>
    <col min="10747" max="10747" width="14.453125" style="158" customWidth="1"/>
    <col min="10748" max="10748" width="11.7265625" style="158" customWidth="1"/>
    <col min="10749" max="11002" width="8.7265625" style="158"/>
    <col min="11003" max="11003" width="14.453125" style="158" customWidth="1"/>
    <col min="11004" max="11004" width="11.7265625" style="158" customWidth="1"/>
    <col min="11005" max="11258" width="8.7265625" style="158"/>
    <col min="11259" max="11259" width="14.453125" style="158" customWidth="1"/>
    <col min="11260" max="11260" width="11.7265625" style="158" customWidth="1"/>
    <col min="11261" max="11514" width="8.7265625" style="158"/>
    <col min="11515" max="11515" width="14.453125" style="158" customWidth="1"/>
    <col min="11516" max="11516" width="11.7265625" style="158" customWidth="1"/>
    <col min="11517" max="11770" width="8.7265625" style="158"/>
    <col min="11771" max="11771" width="14.453125" style="158" customWidth="1"/>
    <col min="11772" max="11772" width="11.7265625" style="158" customWidth="1"/>
    <col min="11773" max="12026" width="8.7265625" style="158"/>
    <col min="12027" max="12027" width="14.453125" style="158" customWidth="1"/>
    <col min="12028" max="12028" width="11.7265625" style="158" customWidth="1"/>
    <col min="12029" max="12282" width="8.7265625" style="158"/>
    <col min="12283" max="12283" width="14.453125" style="158" customWidth="1"/>
    <col min="12284" max="12284" width="11.7265625" style="158" customWidth="1"/>
    <col min="12285" max="12538" width="8.7265625" style="158"/>
    <col min="12539" max="12539" width="14.453125" style="158" customWidth="1"/>
    <col min="12540" max="12540" width="11.7265625" style="158" customWidth="1"/>
    <col min="12541" max="12794" width="8.7265625" style="158"/>
    <col min="12795" max="12795" width="14.453125" style="158" customWidth="1"/>
    <col min="12796" max="12796" width="11.7265625" style="158" customWidth="1"/>
    <col min="12797" max="13050" width="8.7265625" style="158"/>
    <col min="13051" max="13051" width="14.453125" style="158" customWidth="1"/>
    <col min="13052" max="13052" width="11.7265625" style="158" customWidth="1"/>
    <col min="13053" max="13306" width="8.7265625" style="158"/>
    <col min="13307" max="13307" width="14.453125" style="158" customWidth="1"/>
    <col min="13308" max="13308" width="11.7265625" style="158" customWidth="1"/>
    <col min="13309" max="13562" width="8.7265625" style="158"/>
    <col min="13563" max="13563" width="14.453125" style="158" customWidth="1"/>
    <col min="13564" max="13564" width="11.7265625" style="158" customWidth="1"/>
    <col min="13565" max="13818" width="8.7265625" style="158"/>
    <col min="13819" max="13819" width="14.453125" style="158" customWidth="1"/>
    <col min="13820" max="13820" width="11.7265625" style="158" customWidth="1"/>
    <col min="13821" max="14074" width="8.7265625" style="158"/>
    <col min="14075" max="14075" width="14.453125" style="158" customWidth="1"/>
    <col min="14076" max="14076" width="11.7265625" style="158" customWidth="1"/>
    <col min="14077" max="14330" width="8.7265625" style="158"/>
    <col min="14331" max="14331" width="14.453125" style="158" customWidth="1"/>
    <col min="14332" max="14332" width="11.7265625" style="158" customWidth="1"/>
    <col min="14333" max="14586" width="8.7265625" style="158"/>
    <col min="14587" max="14587" width="14.453125" style="158" customWidth="1"/>
    <col min="14588" max="14588" width="11.7265625" style="158" customWidth="1"/>
    <col min="14589" max="14842" width="8.7265625" style="158"/>
    <col min="14843" max="14843" width="14.453125" style="158" customWidth="1"/>
    <col min="14844" max="14844" width="11.7265625" style="158" customWidth="1"/>
    <col min="14845" max="15098" width="8.7265625" style="158"/>
    <col min="15099" max="15099" width="14.453125" style="158" customWidth="1"/>
    <col min="15100" max="15100" width="11.7265625" style="158" customWidth="1"/>
    <col min="15101" max="15354" width="8.7265625" style="158"/>
    <col min="15355" max="15355" width="14.453125" style="158" customWidth="1"/>
    <col min="15356" max="15356" width="11.7265625" style="158" customWidth="1"/>
    <col min="15357" max="15610" width="8.7265625" style="158"/>
    <col min="15611" max="15611" width="14.453125" style="158" customWidth="1"/>
    <col min="15612" max="15612" width="11.7265625" style="158" customWidth="1"/>
    <col min="15613" max="15866" width="8.7265625" style="158"/>
    <col min="15867" max="15867" width="14.453125" style="158" customWidth="1"/>
    <col min="15868" max="15868" width="11.7265625" style="158" customWidth="1"/>
    <col min="15869" max="16122" width="8.7265625" style="158"/>
    <col min="16123" max="16123" width="14.453125" style="158" customWidth="1"/>
    <col min="16124" max="16124" width="11.7265625" style="158" customWidth="1"/>
    <col min="16125" max="16384" width="8.7265625" style="158"/>
  </cols>
  <sheetData>
    <row r="1" spans="1:21" ht="23">
      <c r="A1" s="173" t="s">
        <v>332</v>
      </c>
      <c r="B1" s="173"/>
    </row>
    <row r="2" spans="1:21" ht="30">
      <c r="Q2" s="210" t="s">
        <v>333</v>
      </c>
      <c r="R2" s="211" t="s">
        <v>12</v>
      </c>
      <c r="S2" s="211" t="s">
        <v>334</v>
      </c>
      <c r="T2" s="211" t="s">
        <v>13</v>
      </c>
      <c r="U2" s="211" t="s">
        <v>335</v>
      </c>
    </row>
    <row r="3" spans="1:21">
      <c r="Q3" s="212">
        <v>10</v>
      </c>
      <c r="R3" s="213">
        <f>Q3^2</f>
        <v>100</v>
      </c>
      <c r="S3" s="214">
        <v>-0.16600000000000037</v>
      </c>
      <c r="T3" s="213">
        <f>S3^2</f>
        <v>2.7556000000000122E-2</v>
      </c>
      <c r="U3" s="215">
        <f>Q3*S3</f>
        <v>-1.6600000000000037</v>
      </c>
    </row>
    <row r="4" spans="1:21">
      <c r="B4" s="216" t="s">
        <v>333</v>
      </c>
      <c r="C4" s="216" t="s">
        <v>296</v>
      </c>
      <c r="D4" s="216" t="s">
        <v>297</v>
      </c>
      <c r="E4" s="216" t="s">
        <v>336</v>
      </c>
      <c r="F4" s="216" t="s">
        <v>337</v>
      </c>
      <c r="G4" s="216" t="s">
        <v>338</v>
      </c>
      <c r="H4" s="216" t="s">
        <v>334</v>
      </c>
      <c r="I4" s="217"/>
      <c r="Q4" s="212">
        <v>20</v>
      </c>
      <c r="R4" s="213">
        <f t="shared" ref="R4:R12" si="0">Q4^2</f>
        <v>400</v>
      </c>
      <c r="S4" s="214">
        <v>-5.3999999999998494E-2</v>
      </c>
      <c r="T4" s="213">
        <f t="shared" ref="T4:T12" si="1">S4^2</f>
        <v>2.9159999999998371E-3</v>
      </c>
      <c r="U4" s="215">
        <f t="shared" ref="U4:U12" si="2">Q4*S4</f>
        <v>-1.0799999999999699</v>
      </c>
    </row>
    <row r="5" spans="1:21">
      <c r="B5" s="218">
        <v>10</v>
      </c>
      <c r="C5" s="218">
        <v>9.91</v>
      </c>
      <c r="D5" s="218">
        <v>9.7100000000000009</v>
      </c>
      <c r="E5" s="218">
        <v>9.9600000000000009</v>
      </c>
      <c r="F5" s="218">
        <v>9.69</v>
      </c>
      <c r="G5" s="218">
        <v>9.9</v>
      </c>
      <c r="H5" s="230">
        <f>AVERAGE(C5:G5)-B5</f>
        <v>-0.16600000000000037</v>
      </c>
      <c r="I5" s="219"/>
      <c r="Q5" s="212">
        <v>30</v>
      </c>
      <c r="R5" s="213">
        <f t="shared" si="0"/>
        <v>900</v>
      </c>
      <c r="S5" s="214">
        <v>-1.6000000000001791E-2</v>
      </c>
      <c r="T5" s="213">
        <f t="shared" si="1"/>
        <v>2.5600000000005729E-4</v>
      </c>
      <c r="U5" s="215">
        <f t="shared" si="2"/>
        <v>-0.48000000000005372</v>
      </c>
    </row>
    <row r="6" spans="1:21">
      <c r="B6" s="218">
        <v>20</v>
      </c>
      <c r="C6" s="218">
        <v>19.920000000000002</v>
      </c>
      <c r="D6" s="218">
        <v>20.16</v>
      </c>
      <c r="E6" s="218">
        <v>19.88</v>
      </c>
      <c r="F6" s="218">
        <v>19.850000000000001</v>
      </c>
      <c r="G6" s="218">
        <v>19.920000000000002</v>
      </c>
      <c r="H6" s="230">
        <f t="shared" ref="H6:H14" si="3">AVERAGE(C6:G6)-B6</f>
        <v>-5.3999999999998494E-2</v>
      </c>
      <c r="I6" s="219"/>
      <c r="Q6" s="212">
        <v>40</v>
      </c>
      <c r="R6" s="213">
        <f t="shared" si="0"/>
        <v>1600</v>
      </c>
      <c r="S6" s="214">
        <v>-4.7999999999994714E-2</v>
      </c>
      <c r="T6" s="213">
        <f t="shared" si="1"/>
        <v>2.3039999999994927E-3</v>
      </c>
      <c r="U6" s="215">
        <f t="shared" si="2"/>
        <v>-1.9199999999997885</v>
      </c>
    </row>
    <row r="7" spans="1:21">
      <c r="B7" s="218">
        <v>30</v>
      </c>
      <c r="C7" s="218">
        <v>29.68</v>
      </c>
      <c r="D7" s="218">
        <v>30.15</v>
      </c>
      <c r="E7" s="218">
        <v>30.46</v>
      </c>
      <c r="F7" s="218">
        <v>29.48</v>
      </c>
      <c r="G7" s="218">
        <v>30.15</v>
      </c>
      <c r="H7" s="230">
        <f t="shared" si="3"/>
        <v>-1.6000000000001791E-2</v>
      </c>
      <c r="I7" s="219"/>
      <c r="Q7" s="212">
        <v>50</v>
      </c>
      <c r="R7" s="213">
        <f t="shared" si="0"/>
        <v>2500</v>
      </c>
      <c r="S7" s="214">
        <v>1.0000000000005116E-2</v>
      </c>
      <c r="T7" s="213">
        <f t="shared" si="1"/>
        <v>1.0000000000010231E-4</v>
      </c>
      <c r="U7" s="215">
        <f t="shared" si="2"/>
        <v>0.5000000000002558</v>
      </c>
    </row>
    <row r="8" spans="1:21">
      <c r="B8" s="218">
        <v>40</v>
      </c>
      <c r="C8" s="218">
        <v>40.03</v>
      </c>
      <c r="D8" s="218">
        <v>39.93</v>
      </c>
      <c r="E8" s="218">
        <v>40.08</v>
      </c>
      <c r="F8" s="218">
        <v>39.69</v>
      </c>
      <c r="G8" s="218">
        <v>40.03</v>
      </c>
      <c r="H8" s="230">
        <f t="shared" si="3"/>
        <v>-4.7999999999994714E-2</v>
      </c>
      <c r="I8" s="219"/>
      <c r="Q8" s="212">
        <v>60</v>
      </c>
      <c r="R8" s="213">
        <f t="shared" si="0"/>
        <v>3600</v>
      </c>
      <c r="S8" s="214">
        <v>1.3999999999995794E-2</v>
      </c>
      <c r="T8" s="213">
        <f t="shared" si="1"/>
        <v>1.9599999999988222E-4</v>
      </c>
      <c r="U8" s="215">
        <f t="shared" si="2"/>
        <v>0.83999999999974762</v>
      </c>
    </row>
    <row r="9" spans="1:21">
      <c r="B9" s="218">
        <v>50</v>
      </c>
      <c r="C9" s="218">
        <v>50.31</v>
      </c>
      <c r="D9" s="218">
        <v>49.78</v>
      </c>
      <c r="E9" s="218">
        <v>50.04</v>
      </c>
      <c r="F9" s="218">
        <v>49.86</v>
      </c>
      <c r="G9" s="218">
        <v>50.06</v>
      </c>
      <c r="H9" s="230">
        <f t="shared" si="3"/>
        <v>1.0000000000005116E-2</v>
      </c>
      <c r="I9" s="219"/>
      <c r="Q9" s="212">
        <v>70</v>
      </c>
      <c r="R9" s="213">
        <f t="shared" si="0"/>
        <v>4900</v>
      </c>
      <c r="S9" s="214">
        <v>5.9999999999988063E-2</v>
      </c>
      <c r="T9" s="213">
        <f t="shared" si="1"/>
        <v>3.5999999999985675E-3</v>
      </c>
      <c r="U9" s="215">
        <f t="shared" si="2"/>
        <v>4.1999999999991644</v>
      </c>
    </row>
    <row r="10" spans="1:21">
      <c r="B10" s="218">
        <v>60</v>
      </c>
      <c r="C10" s="218">
        <v>60.58</v>
      </c>
      <c r="D10" s="218">
        <v>59.34</v>
      </c>
      <c r="E10" s="218">
        <v>59.61</v>
      </c>
      <c r="F10" s="218">
        <v>59.88</v>
      </c>
      <c r="G10" s="218">
        <v>60.66</v>
      </c>
      <c r="H10" s="230">
        <f t="shared" si="3"/>
        <v>1.3999999999995794E-2</v>
      </c>
      <c r="I10" s="219"/>
      <c r="Q10" s="212">
        <v>80</v>
      </c>
      <c r="R10" s="213">
        <f t="shared" si="0"/>
        <v>6400</v>
      </c>
      <c r="S10" s="214">
        <v>4.8000000000001819E-2</v>
      </c>
      <c r="T10" s="213">
        <f t="shared" si="1"/>
        <v>2.3040000000001748E-3</v>
      </c>
      <c r="U10" s="215">
        <f t="shared" si="2"/>
        <v>3.8400000000001455</v>
      </c>
    </row>
    <row r="11" spans="1:21">
      <c r="B11" s="218">
        <v>70</v>
      </c>
      <c r="C11" s="218">
        <v>70.14</v>
      </c>
      <c r="D11" s="218">
        <v>69.930000000000007</v>
      </c>
      <c r="E11" s="218">
        <v>69.52</v>
      </c>
      <c r="F11" s="218">
        <v>69.86</v>
      </c>
      <c r="G11" s="218">
        <v>70.849999999999994</v>
      </c>
      <c r="H11" s="230">
        <f t="shared" si="3"/>
        <v>5.9999999999988063E-2</v>
      </c>
      <c r="I11" s="219"/>
      <c r="Q11" s="212">
        <v>90</v>
      </c>
      <c r="R11" s="213">
        <f t="shared" si="0"/>
        <v>8100</v>
      </c>
      <c r="S11" s="214">
        <v>0.12399999999999523</v>
      </c>
      <c r="T11" s="213">
        <f t="shared" si="1"/>
        <v>1.5375999999998816E-2</v>
      </c>
      <c r="U11" s="215">
        <f t="shared" si="2"/>
        <v>11.15999999999957</v>
      </c>
    </row>
    <row r="12" spans="1:21">
      <c r="B12" s="218">
        <v>80</v>
      </c>
      <c r="C12" s="218">
        <v>79.099999999999994</v>
      </c>
      <c r="D12" s="218">
        <v>79.930000000000007</v>
      </c>
      <c r="E12" s="218">
        <v>79.83</v>
      </c>
      <c r="F12" s="218">
        <v>80.78</v>
      </c>
      <c r="G12" s="218">
        <v>80.599999999999994</v>
      </c>
      <c r="H12" s="230">
        <f t="shared" si="3"/>
        <v>4.8000000000001819E-2</v>
      </c>
      <c r="I12" s="219"/>
      <c r="Q12" s="212">
        <v>100</v>
      </c>
      <c r="R12" s="213">
        <f t="shared" si="0"/>
        <v>10000</v>
      </c>
      <c r="S12" s="214">
        <v>0.1460000000000008</v>
      </c>
      <c r="T12" s="213">
        <f t="shared" si="1"/>
        <v>2.1316000000000234E-2</v>
      </c>
      <c r="U12" s="215">
        <f t="shared" si="2"/>
        <v>14.60000000000008</v>
      </c>
    </row>
    <row r="13" spans="1:21">
      <c r="B13" s="218">
        <v>90</v>
      </c>
      <c r="C13" s="218">
        <v>89.4</v>
      </c>
      <c r="D13" s="218">
        <v>89.4</v>
      </c>
      <c r="E13" s="218">
        <v>90.47</v>
      </c>
      <c r="F13" s="218">
        <v>89.96</v>
      </c>
      <c r="G13" s="218">
        <v>91.39</v>
      </c>
      <c r="H13" s="230">
        <f t="shared" si="3"/>
        <v>0.12399999999999523</v>
      </c>
      <c r="I13" s="219"/>
      <c r="P13" s="220" t="s">
        <v>339</v>
      </c>
      <c r="Q13" s="221">
        <f>SUM(Q3:Q12)</f>
        <v>550</v>
      </c>
      <c r="R13" s="221">
        <f t="shared" ref="R13:U13" si="4">SUM(R3:R12)</f>
        <v>38500</v>
      </c>
      <c r="S13" s="221">
        <f t="shared" si="4"/>
        <v>0.11799999999999145</v>
      </c>
      <c r="T13" s="221">
        <f t="shared" si="4"/>
        <v>7.5923999999997285E-2</v>
      </c>
      <c r="U13" s="221">
        <f t="shared" si="4"/>
        <v>29.999999999999147</v>
      </c>
    </row>
    <row r="14" spans="1:21">
      <c r="B14" s="218">
        <v>100</v>
      </c>
      <c r="C14" s="218">
        <v>100.91</v>
      </c>
      <c r="D14" s="218">
        <v>99.49</v>
      </c>
      <c r="E14" s="218">
        <v>100.24</v>
      </c>
      <c r="F14" s="218">
        <v>100.67</v>
      </c>
      <c r="G14" s="218">
        <v>99.42</v>
      </c>
      <c r="H14" s="230">
        <f t="shared" si="3"/>
        <v>0.1460000000000008</v>
      </c>
      <c r="I14" s="219"/>
    </row>
    <row r="16" spans="1:21" ht="17.5">
      <c r="E16" s="222" t="s">
        <v>340</v>
      </c>
    </row>
    <row r="17" spans="1:5" ht="17.5">
      <c r="A17" s="156" t="s">
        <v>341</v>
      </c>
      <c r="B17" s="223">
        <f>SLOPE(H5:H14,B5:B14)</f>
        <v>2.8496969696969231E-3</v>
      </c>
      <c r="C17" s="224">
        <f>(B21*U13-Q13*S13)/(B21*R13-Q13^2)</f>
        <v>2.8496969696969235E-3</v>
      </c>
      <c r="E17" s="225" t="s">
        <v>342</v>
      </c>
    </row>
    <row r="18" spans="1:5" ht="16.5">
      <c r="A18" s="156" t="s">
        <v>343</v>
      </c>
      <c r="B18" s="223">
        <f>INTERCEPT(H5:H14,B5:B14)</f>
        <v>-0.14493333333333164</v>
      </c>
      <c r="C18" s="226">
        <f>(S13-C17*Q13)/B21</f>
        <v>-0.14493333333333164</v>
      </c>
    </row>
    <row r="19" spans="1:5">
      <c r="A19" s="156" t="s">
        <v>345</v>
      </c>
      <c r="B19" s="227">
        <f>B17</f>
        <v>2.8496969696969231E-3</v>
      </c>
      <c r="C19" s="228">
        <f>C17</f>
        <v>2.8496969696969235E-3</v>
      </c>
    </row>
    <row r="21" spans="1:5">
      <c r="A21" s="156" t="s">
        <v>21</v>
      </c>
      <c r="B21" s="229">
        <f>COUNTA(B5:B14)</f>
        <v>10</v>
      </c>
    </row>
    <row r="23" spans="1:5">
      <c r="A23" s="158" t="s">
        <v>22</v>
      </c>
      <c r="B23" s="158">
        <f>CORREL(B5:B14,H5:H14)</f>
        <v>0.94810280749197196</v>
      </c>
    </row>
    <row r="24" spans="1:5">
      <c r="A24" s="158" t="s">
        <v>344</v>
      </c>
      <c r="B24" s="158">
        <f>B23^2</f>
        <v>0.89889893357415929</v>
      </c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</vt:i4>
      </vt:variant>
    </vt:vector>
  </HeadingPairs>
  <TitlesOfParts>
    <vt:vector size="18" baseType="lpstr">
      <vt:lpstr>Attendance</vt:lpstr>
      <vt:lpstr>Correlation &amp; Regression-1</vt:lpstr>
      <vt:lpstr>Correlation &amp; Regression-2</vt:lpstr>
      <vt:lpstr>Salary Calculation</vt:lpstr>
      <vt:lpstr>X-Bar &amp; R Control Chart</vt:lpstr>
      <vt:lpstr>X-Bar &amp; R Control Chart (2)</vt:lpstr>
      <vt:lpstr>P Chart</vt:lpstr>
      <vt:lpstr>C Chart</vt:lpstr>
      <vt:lpstr>One Way ANOVA</vt:lpstr>
      <vt:lpstr>One-Way ANOVA (Calculations)</vt:lpstr>
      <vt:lpstr>Two-Way ANOVA</vt:lpstr>
      <vt:lpstr>Multi-Factor ANOVA</vt:lpstr>
      <vt:lpstr>Reliability Case Study-1</vt:lpstr>
      <vt:lpstr>Bias Linearity</vt:lpstr>
      <vt:lpstr>Bias</vt:lpstr>
      <vt:lpstr>Repeatability &amp; Reproducibility</vt:lpstr>
      <vt:lpstr>Linearity-2</vt:lpstr>
      <vt:lpstr>'One-Way ANOVA (Calculations)'!OLE_LINK1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2015-06-05T18:17:20Z</dcterms:created>
  <dcterms:modified xsi:type="dcterms:W3CDTF">2023-05-09T12:28:26Z</dcterms:modified>
</cp:coreProperties>
</file>