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usiness Analyst\USA BA 157\"/>
    </mc:Choice>
  </mc:AlternateContent>
  <xr:revisionPtr revIDLastSave="0" documentId="13_ncr:1_{B0EE0F59-BD29-4D79-8298-B2CC685B9224}" xr6:coauthVersionLast="47" xr6:coauthVersionMax="47" xr10:uidLastSave="{00000000-0000-0000-0000-000000000000}"/>
  <bookViews>
    <workbookView xWindow="-110" yWindow="-110" windowWidth="19420" windowHeight="10420" tabRatio="728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D13" i="7"/>
  <c r="D14" i="7"/>
  <c r="D15" i="7"/>
  <c r="D12" i="7"/>
  <c r="E13" i="7"/>
  <c r="E14" i="7"/>
  <c r="E15" i="7"/>
  <c r="E12" i="7"/>
  <c r="C13" i="7"/>
  <c r="C14" i="7"/>
  <c r="C15" i="7"/>
  <c r="C12" i="7"/>
  <c r="E5" i="7"/>
  <c r="E6" i="7"/>
  <c r="E7" i="7"/>
  <c r="E4" i="7"/>
  <c r="D5" i="7"/>
  <c r="D6" i="7"/>
  <c r="D7" i="7"/>
  <c r="D4" i="7"/>
  <c r="C5" i="7"/>
  <c r="C6" i="7"/>
  <c r="C7" i="7"/>
  <c r="C4" i="7"/>
  <c r="K18" i="6"/>
  <c r="J18" i="6"/>
  <c r="I18" i="6"/>
  <c r="J17" i="6"/>
  <c r="I17" i="6"/>
  <c r="K16" i="6"/>
  <c r="J16" i="6"/>
  <c r="I16" i="6"/>
  <c r="J15" i="6"/>
  <c r="I15" i="6"/>
  <c r="K14" i="6"/>
  <c r="J14" i="6"/>
  <c r="I14" i="6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R12" i="4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J30" i="3"/>
  <c r="N23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1" i="3"/>
  <c r="J32" i="3"/>
  <c r="N18" i="3"/>
  <c r="N19" i="3"/>
  <c r="N20" i="3"/>
  <c r="N21" i="3"/>
  <c r="N22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C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36D21845-EDED-48C4-BAD6-B23A783F233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D6AADBD-A725-4E3D-BC46-ADCF1F63300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2" authorId="0" shapeId="0" xr:uid="{BD540C87-D660-42CE-A0EC-81E97F3033FB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  <comment ref="E11" authorId="0" shapeId="0" xr:uid="{0C427C1B-78D6-4E34-9D88-DB221F2BA1CE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919E0506-13AF-4829-A086-891ABC8BBE6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<sst xmlns="http://schemas.openxmlformats.org/spreadsheetml/2006/main" count="3667" uniqueCount="1377">
  <si>
    <t>Text</t>
  </si>
  <si>
    <t>Processed Text</t>
  </si>
  <si>
    <t>Welcome to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</si>
  <si>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</si>
  <si>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</si>
  <si>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</si>
  <si>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</si>
  <si>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</si>
  <si>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</si>
  <si>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</si>
  <si>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</si>
  <si>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</si>
  <si>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</si>
  <si>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</si>
  <si>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</si>
  <si>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</si>
  <si>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</si>
  <si>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</si>
  <si>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</si>
  <si>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</si>
  <si>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</si>
  <si>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</si>
  <si>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</si>
  <si>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</si>
  <si>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</si>
  <si>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</si>
  <si>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</si>
  <si>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</si>
  <si>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</si>
  <si>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</si>
  <si>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</si>
  <si>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</si>
  <si>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</si>
  <si>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</si>
  <si>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</si>
  <si>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</si>
  <si>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</si>
  <si>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</si>
  <si>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</si>
  <si>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</si>
  <si>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</si>
  <si>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</si>
  <si>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</si>
  <si>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</si>
  <si>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</si>
  <si>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</si>
  <si>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</si>
  <si>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</si>
  <si>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</si>
  <si>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</si>
  <si>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</si>
  <si>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</si>
  <si>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</si>
  <si>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</si>
  <si>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</si>
  <si>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</si>
  <si>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</si>
  <si>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</si>
  <si>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</si>
  <si>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</si>
  <si>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</si>
  <si>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</si>
  <si>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</si>
  <si>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</si>
  <si>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</si>
  <si>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</si>
  <si>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</si>
  <si>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</si>
  <si>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</si>
  <si>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</si>
  <si>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</si>
  <si>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</si>
  <si>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</si>
  <si>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</si>
  <si>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</si>
  <si>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</si>
  <si>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</si>
  <si>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</si>
  <si>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</si>
  <si>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</si>
  <si>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</si>
  <si>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</si>
  <si>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</si>
  <si>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</si>
  <si>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</si>
  <si>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</si>
  <si>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</si>
  <si>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</si>
  <si>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</si>
  <si>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</si>
  <si>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</si>
  <si>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</si>
  <si>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</si>
  <si>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</si>
  <si>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</si>
  <si>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</si>
  <si>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</si>
  <si>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</si>
  <si>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</si>
  <si>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</si>
  <si>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</si>
  <si>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</si>
  <si>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</si>
  <si>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</si>
  <si>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</si>
  <si>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</si>
  <si>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</si>
  <si>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</si>
  <si>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</si>
  <si>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</si>
  <si>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</si>
  <si>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</si>
  <si>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</si>
  <si>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</si>
  <si>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</si>
  <si>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</si>
  <si>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</si>
  <si>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</si>
  <si>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</si>
  <si>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</si>
  <si>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</si>
  <si>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</si>
  <si>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</si>
  <si>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</si>
  <si>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</si>
  <si>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</si>
  <si>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</si>
  <si>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</si>
  <si>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</si>
  <si>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</si>
  <si>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</si>
  <si>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</si>
  <si>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</si>
  <si>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</si>
  <si>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</si>
  <si>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</si>
  <si>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</si>
  <si>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</si>
  <si>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</si>
  <si>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</si>
  <si>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</si>
  <si>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</si>
  <si>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</si>
  <si>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</si>
  <si>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</si>
  <si>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</si>
  <si>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</si>
  <si>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</si>
  <si>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</si>
  <si>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</si>
  <si>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</si>
  <si>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</si>
  <si>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</si>
  <si>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</si>
  <si>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</si>
  <si>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</si>
  <si>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</si>
  <si>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</si>
  <si>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</si>
  <si>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</si>
  <si>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</si>
  <si>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</si>
  <si>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</si>
  <si>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</si>
  <si>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</si>
  <si>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</si>
  <si>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</si>
  <si>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</si>
  <si>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</si>
  <si>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</si>
  <si>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</si>
  <si>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</si>
  <si>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</si>
  <si>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</si>
  <si>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</si>
  <si>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</si>
  <si>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</si>
  <si>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</si>
  <si>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</si>
  <si>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</si>
  <si>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</si>
  <si>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</si>
  <si>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</si>
  <si>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</si>
  <si>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</si>
  <si>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</si>
  <si>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</si>
  <si>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</si>
  <si>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</si>
  <si>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</si>
  <si>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</si>
  <si>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</si>
  <si>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</si>
  <si>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</si>
  <si>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</si>
  <si>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</si>
  <si>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</si>
  <si>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</si>
  <si>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</si>
  <si>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</si>
  <si>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</si>
  <si>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</si>
  <si>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</si>
  <si>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</si>
  <si>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</si>
  <si>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</si>
  <si>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</si>
  <si>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</si>
  <si>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</si>
  <si>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</si>
  <si>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</si>
  <si>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</si>
  <si>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</si>
  <si>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</si>
  <si>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</si>
  <si>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</si>
  <si>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</si>
  <si>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</si>
  <si>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</si>
  <si>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</si>
  <si>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</si>
  <si>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</si>
  <si>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</si>
  <si>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</si>
  <si>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</si>
  <si>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</si>
  <si>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</si>
  <si>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</si>
  <si>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</si>
  <si>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</si>
  <si>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</si>
  <si>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</si>
  <si>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</si>
  <si>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</si>
  <si>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</si>
  <si>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</si>
  <si>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</si>
  <si>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</si>
  <si>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</si>
  <si>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</si>
  <si>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</si>
  <si>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</si>
  <si>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</si>
  <si>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</si>
  <si>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</si>
  <si>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</si>
  <si>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</si>
  <si>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</si>
  <si>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</si>
  <si>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</si>
  <si>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</si>
  <si>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</si>
  <si>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</si>
  <si>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</si>
  <si>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</si>
  <si>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</si>
  <si>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</si>
  <si>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</si>
  <si>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</si>
  <si>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</si>
  <si>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</si>
  <si>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</si>
  <si>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</si>
  <si>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</si>
  <si>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</si>
  <si>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</si>
  <si>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</si>
  <si>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</si>
  <si>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</si>
  <si>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</si>
  <si>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</si>
  <si>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</si>
  <si>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</si>
  <si>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</si>
  <si>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</si>
  <si>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</si>
  <si>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</si>
  <si>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</si>
  <si>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</si>
  <si>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</si>
  <si>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</si>
  <si>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</si>
  <si>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</si>
  <si>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</si>
  <si>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</si>
  <si>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</si>
  <si>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</si>
  <si>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</si>
  <si>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</si>
  <si>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</si>
  <si>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</si>
  <si>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</si>
  <si>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</si>
  <si>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</si>
  <si>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</si>
  <si>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</si>
  <si>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</si>
  <si>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</si>
  <si>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</si>
  <si>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</si>
  <si>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</si>
  <si>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</si>
  <si>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</si>
  <si>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</si>
  <si>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</si>
  <si>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</si>
  <si>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</si>
  <si>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</si>
  <si>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</si>
  <si>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</si>
  <si>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</si>
  <si>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</si>
  <si>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</si>
  <si>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</si>
  <si>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</si>
  <si>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</si>
  <si>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</si>
  <si>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</si>
  <si>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</si>
  <si>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</si>
  <si>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</si>
  <si>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</si>
  <si>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</si>
  <si>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</si>
  <si>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</si>
  <si>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</si>
  <si>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</si>
  <si>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</si>
  <si>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</si>
  <si>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</si>
  <si>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</si>
  <si>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</si>
  <si>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</si>
  <si>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</si>
  <si>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</si>
  <si>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</si>
  <si>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</si>
  <si>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</si>
  <si>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</si>
  <si>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</si>
  <si>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</si>
  <si>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</si>
  <si>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</si>
  <si>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</si>
  <si>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</si>
  <si>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</si>
  <si>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</si>
  <si>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</si>
  <si>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</si>
  <si>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</si>
  <si>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</si>
  <si>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</si>
  <si>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</si>
  <si>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</si>
  <si>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</si>
  <si>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</si>
  <si>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</si>
  <si>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</si>
  <si>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</si>
  <si>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</si>
  <si>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</si>
  <si>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</si>
  <si>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</si>
  <si>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</si>
  <si>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</si>
  <si>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</si>
  <si>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</si>
  <si>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</si>
  <si>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</si>
  <si>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</si>
  <si>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</si>
  <si>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</si>
  <si>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</si>
  <si>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</si>
  <si>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</si>
  <si>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</si>
  <si>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</si>
  <si>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</si>
  <si>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</si>
  <si>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</si>
  <si>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</si>
  <si>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</si>
  <si>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</si>
  <si>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</si>
  <si>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</si>
  <si>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</si>
  <si>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</si>
  <si>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</si>
  <si>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</si>
  <si>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</si>
  <si>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</si>
  <si>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</si>
  <si>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</si>
  <si>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</si>
  <si>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</si>
  <si>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</si>
  <si>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</si>
  <si>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</si>
  <si>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</si>
  <si>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</si>
  <si>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</si>
  <si>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</si>
  <si>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</si>
  <si>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</si>
  <si>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</si>
  <si>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</si>
  <si>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</si>
  <si>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</si>
  <si>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</si>
  <si>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</si>
  <si>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</si>
  <si>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</si>
  <si>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</si>
  <si>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</si>
  <si>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</si>
  <si>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</si>
  <si>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</si>
  <si>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</si>
  <si>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</si>
  <si>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</si>
  <si>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</si>
  <si>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</si>
  <si>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</si>
  <si>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</si>
  <si>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</si>
  <si>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</si>
  <si>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</si>
  <si>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</si>
  <si>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</si>
  <si>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</si>
  <si>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</si>
  <si>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</si>
  <si>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</si>
  <si>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</si>
  <si>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</si>
  <si>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</si>
  <si>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</si>
  <si>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</si>
  <si>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</si>
  <si>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</si>
  <si>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</si>
  <si>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</si>
  <si>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</si>
  <si>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</si>
  <si>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</si>
  <si>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</si>
  <si>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</si>
  <si>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</si>
  <si>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</si>
  <si>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</si>
  <si>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</si>
  <si>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</si>
  <si>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</si>
  <si>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</si>
  <si>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</si>
  <si>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</si>
  <si>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</si>
  <si>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</si>
  <si>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</si>
  <si>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</si>
  <si>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</si>
  <si>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</si>
  <si>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</si>
  <si>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</si>
  <si>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</si>
  <si>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</si>
  <si>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</si>
  <si>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</si>
  <si>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</si>
  <si>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</si>
  <si>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</si>
  <si>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</si>
  <si>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</si>
  <si>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</si>
  <si>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</si>
  <si>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</si>
  <si>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</si>
  <si>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</si>
  <si>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</si>
  <si>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</si>
  <si>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</si>
  <si>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</si>
  <si>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</si>
  <si>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</si>
  <si>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</si>
  <si>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</si>
  <si>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</si>
  <si>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</si>
  <si>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</si>
  <si>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</si>
  <si>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</si>
  <si>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</si>
  <si>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</si>
  <si>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</si>
  <si>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</si>
  <si>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</si>
  <si>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</si>
  <si>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</si>
  <si>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</si>
  <si>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</si>
  <si>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</si>
  <si>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</si>
  <si>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</si>
  <si>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</si>
  <si>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</si>
  <si>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</si>
  <si>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</si>
  <si>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</si>
  <si>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</si>
  <si>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</si>
  <si>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</si>
  <si>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</si>
  <si>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</si>
  <si>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</si>
  <si>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</si>
  <si>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</si>
  <si>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</si>
  <si>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</si>
  <si>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</si>
  <si>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</si>
  <si>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</si>
  <si>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</si>
  <si>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</si>
  <si>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</si>
  <si>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</si>
  <si>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</si>
  <si>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</si>
  <si>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</si>
  <si>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</si>
  <si>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</si>
  <si>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</si>
  <si>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</si>
  <si>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</si>
  <si>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</si>
  <si>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</si>
  <si>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</si>
  <si>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</si>
  <si>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</si>
  <si>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</si>
  <si>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</si>
  <si>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</si>
  <si>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</si>
  <si>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</si>
  <si>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</si>
  <si>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</si>
  <si>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</si>
  <si>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</si>
  <si>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</si>
  <si>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</si>
  <si>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</si>
  <si>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</si>
  <si>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</si>
  <si>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</si>
  <si>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</si>
  <si>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</si>
  <si>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</si>
  <si>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</si>
  <si>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</si>
  <si>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</si>
  <si>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</si>
  <si>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</si>
  <si>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</si>
  <si>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</si>
  <si>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</si>
  <si>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</si>
  <si>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</si>
  <si>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</si>
  <si>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</si>
  <si>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</si>
  <si>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</si>
  <si>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</si>
  <si>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</si>
  <si>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</si>
  <si>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</si>
  <si>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</si>
  <si>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</si>
  <si>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</si>
  <si>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</si>
  <si>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</si>
  <si>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</si>
  <si>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</si>
  <si>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</si>
  <si>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</si>
  <si>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</si>
  <si>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</si>
  <si>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</si>
  <si>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</si>
  <si>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</si>
  <si>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</si>
  <si>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</si>
  <si>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</si>
  <si>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</si>
  <si>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</si>
  <si>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</si>
  <si>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</si>
  <si>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</si>
  <si>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</si>
  <si>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</si>
  <si>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</si>
  <si>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</si>
  <si>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</si>
  <si>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</si>
  <si>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</si>
  <si>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</si>
  <si>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</si>
  <si>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</si>
  <si>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</si>
  <si>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</si>
  <si>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</si>
  <si>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</si>
  <si>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</si>
  <si>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</si>
  <si>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</si>
  <si>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</si>
  <si>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</si>
  <si>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</si>
  <si>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</si>
  <si>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</si>
  <si>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</si>
  <si>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</si>
  <si>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</si>
  <si>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</si>
  <si>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</si>
  <si>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</si>
  <si>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</si>
  <si>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</si>
  <si>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</si>
  <si>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</si>
  <si>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</si>
  <si>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</si>
  <si>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</si>
  <si>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</si>
  <si>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</si>
  <si>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</si>
  <si>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</si>
  <si>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</si>
  <si>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</si>
  <si>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</si>
  <si>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</si>
  <si>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</si>
  <si>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</si>
  <si>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</si>
  <si>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</si>
  <si>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</si>
  <si>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</si>
  <si>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</si>
  <si>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</si>
  <si>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</si>
  <si>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</si>
  <si>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</si>
  <si>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</si>
  <si>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</si>
  <si>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</si>
  <si>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</si>
  <si>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</si>
  <si>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</si>
  <si>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</si>
  <si>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</si>
  <si>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</si>
  <si>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</si>
  <si>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</si>
  <si>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</si>
  <si>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</si>
  <si>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</si>
  <si>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</si>
  <si>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</si>
  <si>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</si>
  <si>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</si>
  <si>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</si>
  <si>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</si>
  <si>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</si>
  <si>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</si>
  <si>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</si>
  <si>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</si>
  <si>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</si>
  <si>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</si>
  <si>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</si>
  <si>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</si>
  <si>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</si>
  <si>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</si>
  <si>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</si>
  <si>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</si>
  <si>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</si>
  <si>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</si>
  <si>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</si>
  <si>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</si>
  <si>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</si>
  <si>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</si>
  <si>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</si>
  <si>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</si>
  <si>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</si>
  <si>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</si>
  <si>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</si>
  <si>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</si>
  <si>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</si>
  <si>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</si>
  <si>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</si>
  <si>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</si>
  <si>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</si>
  <si>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</si>
  <si>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</si>
  <si>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</si>
  <si>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</si>
  <si>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</si>
  <si>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</si>
  <si>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</si>
  <si>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</si>
  <si>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</si>
  <si>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</si>
  <si>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</si>
  <si>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</si>
  <si>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</si>
  <si>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</si>
  <si>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</si>
  <si>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</si>
  <si>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</si>
  <si>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</si>
  <si>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</si>
  <si>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</si>
  <si>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</si>
  <si>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</si>
  <si>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</si>
  <si>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</si>
  <si>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</si>
  <si>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</si>
  <si>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</si>
  <si>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</si>
  <si>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</si>
  <si>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</si>
  <si>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</si>
  <si>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</si>
  <si>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</si>
  <si>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</si>
  <si>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</si>
  <si>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</si>
  <si>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</si>
  <si>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</si>
  <si>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</si>
  <si>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</si>
  <si>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</si>
  <si>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</si>
  <si>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</si>
  <si>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</si>
  <si>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</si>
  <si>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</si>
  <si>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</si>
  <si>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</si>
  <si>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</si>
  <si>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</si>
  <si>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</si>
  <si>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</si>
  <si>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</si>
  <si>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</si>
  <si>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</si>
  <si>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</si>
  <si>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</si>
  <si>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</si>
  <si>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</si>
  <si>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</si>
  <si>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</si>
  <si>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</si>
  <si>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</si>
  <si>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</si>
  <si>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</si>
  <si>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</si>
  <si>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</si>
  <si>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</si>
  <si>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</si>
  <si>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</si>
  <si>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</si>
  <si>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</si>
  <si>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</si>
  <si>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</si>
  <si>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</si>
  <si>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</si>
  <si>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</si>
  <si>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</si>
  <si>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</si>
  <si>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</si>
  <si>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</si>
  <si>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</si>
  <si>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</si>
  <si>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</si>
  <si>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</si>
  <si>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</si>
  <si>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</si>
  <si>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</si>
  <si>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</si>
  <si>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</si>
  <si>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</si>
  <si>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</si>
  <si>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</si>
  <si>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</si>
  <si>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</si>
  <si>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</si>
  <si>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</si>
  <si>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</si>
  <si>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</si>
  <si>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</si>
  <si>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</si>
  <si>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</si>
  <si>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</si>
  <si>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</si>
  <si>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</si>
  <si>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</si>
  <si>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</si>
  <si>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</si>
  <si>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</si>
  <si>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</si>
  <si>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</si>
  <si>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</si>
  <si>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</si>
  <si>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</si>
  <si>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</si>
  <si>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</si>
  <si>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</si>
  <si>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</si>
  <si>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</si>
  <si>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</si>
  <si>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</si>
  <si>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</si>
  <si>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</si>
  <si>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</si>
  <si>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</si>
  <si>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</si>
  <si>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</si>
  <si>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</si>
  <si>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</si>
  <si>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</si>
  <si>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</si>
  <si>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</si>
  <si>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</si>
  <si>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</si>
  <si>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</si>
  <si>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</si>
  <si>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</si>
  <si>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</si>
  <si>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</si>
  <si>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</si>
  <si>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</si>
  <si>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</si>
  <si>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</si>
  <si>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</si>
  <si>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</si>
  <si>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</si>
  <si>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</si>
  <si>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</si>
  <si>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</si>
  <si>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</si>
  <si>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</si>
  <si>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</si>
  <si>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</si>
  <si>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</si>
  <si>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</si>
  <si>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</si>
  <si>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</si>
  <si>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</si>
  <si>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</si>
  <si>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</si>
  <si>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</si>
  <si>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</si>
  <si>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</si>
  <si>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</si>
  <si>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</si>
  <si>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</si>
  <si>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</si>
  <si>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</si>
  <si>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</si>
  <si>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</si>
  <si>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</si>
  <si>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</si>
  <si>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</si>
  <si>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</si>
  <si>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</si>
  <si>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</si>
  <si>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</si>
  <si>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</si>
  <si>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</si>
  <si>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</si>
  <si>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</si>
  <si>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</si>
  <si>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</si>
  <si>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</si>
  <si>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</si>
  <si>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</si>
  <si>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</si>
  <si>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</si>
  <si>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</si>
  <si>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</si>
  <si>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</si>
  <si>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</si>
  <si>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</si>
  <si>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</si>
  <si>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</si>
  <si>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</si>
  <si>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</si>
  <si>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</si>
  <si>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</si>
  <si>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</si>
  <si>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</si>
  <si>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</si>
  <si>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</si>
  <si>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</si>
  <si>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</si>
  <si>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</si>
  <si>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</si>
  <si>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</si>
  <si>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</si>
  <si>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</si>
  <si>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</si>
  <si>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</si>
  <si>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</si>
  <si>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</si>
  <si>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</si>
  <si>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</si>
  <si>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</si>
  <si>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</si>
  <si>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</si>
  <si>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</si>
  <si>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</si>
  <si>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</si>
  <si>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</si>
  <si>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</si>
  <si>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</si>
  <si>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</si>
  <si>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</si>
  <si>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</si>
  <si>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</si>
  <si>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</si>
  <si>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</si>
  <si>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</si>
  <si>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</si>
  <si>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</si>
  <si>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</si>
  <si>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</si>
  <si>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</si>
  <si>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</si>
  <si>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</si>
  <si>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</si>
  <si>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</si>
  <si>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</si>
  <si>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</si>
  <si>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</si>
  <si>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</si>
  <si>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</si>
  <si>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</si>
  <si>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</si>
  <si>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</si>
  <si>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</si>
  <si>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</si>
  <si>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</si>
  <si>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</si>
  <si>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</si>
  <si>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</si>
  <si>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</si>
  <si>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</si>
  <si>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</si>
  <si>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</si>
  <si>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</si>
  <si>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</si>
  <si>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</si>
  <si>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</si>
  <si>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</si>
  <si>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</si>
  <si>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</si>
  <si>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</si>
  <si>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</si>
  <si>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</si>
  <si>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</si>
  <si>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</si>
  <si>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</si>
  <si>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</si>
  <si>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</si>
  <si>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</si>
  <si>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</si>
  <si>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</si>
  <si>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</si>
  <si>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</si>
  <si>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</si>
  <si>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</si>
  <si>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</si>
  <si>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</si>
  <si>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</si>
  <si>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</si>
  <si>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</si>
  <si>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</si>
  <si>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</si>
  <si>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</si>
  <si>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</si>
  <si>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</si>
  <si>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</si>
  <si>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</si>
  <si>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</si>
  <si>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</si>
  <si>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</si>
  <si>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</si>
  <si>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</si>
  <si>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</si>
  <si>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</si>
  <si>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</si>
  <si>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</si>
  <si>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</si>
  <si>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</si>
  <si>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</si>
  <si>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</si>
  <si>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</si>
  <si>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</si>
  <si>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</si>
  <si>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</si>
  <si>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</si>
  <si>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</si>
  <si>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</si>
  <si>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</si>
  <si>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</si>
  <si>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</si>
  <si>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</si>
  <si>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</si>
  <si>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</si>
  <si>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</si>
  <si>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</si>
  <si>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</si>
  <si>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</si>
  <si>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</si>
  <si>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</si>
  <si>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</si>
  <si>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</si>
  <si>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</si>
  <si>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</si>
  <si>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</si>
  <si>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</si>
  <si>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</si>
  <si>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</si>
  <si>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</si>
  <si>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</si>
  <si>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</si>
  <si>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</si>
  <si>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</si>
  <si>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</si>
  <si>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</si>
  <si>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</si>
  <si>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</si>
  <si>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</si>
  <si>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</si>
  <si>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</si>
  <si>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</si>
  <si>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</si>
  <si>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</si>
  <si>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</si>
  <si>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</si>
  <si>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</si>
  <si>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</si>
  <si>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</si>
  <si>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</si>
  <si>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</si>
  <si>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</si>
  <si>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</si>
  <si>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</si>
  <si>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</si>
  <si>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</si>
  <si>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</si>
  <si>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</si>
  <si>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</si>
  <si>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</si>
  <si>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</si>
  <si>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</si>
  <si>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</si>
  <si>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</si>
  <si>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</si>
  <si>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</si>
  <si>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</si>
  <si>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</si>
  <si>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</si>
  <si>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</si>
  <si>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</si>
  <si>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</si>
  <si>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</si>
  <si>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</si>
  <si>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</si>
  <si>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</si>
  <si>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</si>
  <si>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</si>
  <si>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</si>
  <si>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</si>
  <si>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</si>
  <si>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</si>
  <si>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</si>
  <si>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</si>
  <si>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</si>
  <si>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</si>
  <si>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</si>
  <si>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</si>
  <si>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</si>
  <si>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</si>
  <si>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</si>
  <si>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</si>
  <si>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</si>
  <si>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</si>
  <si>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</si>
  <si>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</si>
  <si>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</si>
  <si>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</si>
  <si>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</si>
  <si>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</si>
  <si>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</si>
  <si>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</si>
  <si>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</si>
  <si>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</si>
  <si>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</si>
  <si>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</si>
  <si>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</si>
  <si>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</si>
  <si>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</si>
  <si>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</si>
  <si>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</si>
  <si>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</si>
  <si>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</si>
  <si>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</si>
  <si>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</si>
  <si>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</si>
  <si>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</si>
  <si>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</si>
  <si>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</si>
  <si>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</si>
  <si>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</si>
  <si>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</si>
  <si>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</si>
  <si>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</si>
  <si>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</si>
  <si>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</si>
  <si>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</si>
  <si>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</si>
  <si>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</si>
  <si>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</si>
  <si>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</si>
  <si>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</si>
  <si>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</si>
  <si>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</si>
  <si>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</si>
  <si>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</si>
  <si>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</si>
  <si>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</si>
  <si>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</si>
  <si>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</si>
  <si>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</si>
  <si>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</si>
  <si>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</si>
  <si>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</si>
  <si>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</si>
  <si>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</si>
  <si>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</si>
  <si>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</si>
  <si>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</si>
  <si>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</si>
  <si>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</si>
  <si>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</si>
  <si>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</si>
  <si>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</si>
  <si>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</si>
  <si>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</si>
  <si>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</si>
  <si>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</si>
  <si>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</si>
  <si>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</si>
  <si>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</si>
  <si>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</si>
  <si>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</si>
  <si>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</si>
  <si>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</si>
  <si>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</si>
  <si>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</si>
  <si>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</si>
  <si>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</si>
  <si>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</si>
  <si>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</si>
  <si>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</si>
  <si>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</si>
  <si>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</si>
  <si>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</si>
  <si>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</si>
  <si>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</si>
  <si>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</si>
  <si>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</si>
  <si>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</si>
  <si>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</si>
  <si>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</si>
  <si>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</si>
  <si>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</si>
  <si>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</si>
  <si>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</si>
  <si>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</si>
  <si>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</si>
  <si>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</si>
  <si>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</si>
  <si>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</si>
  <si>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</si>
  <si>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</si>
  <si>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</si>
  <si>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</si>
  <si>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</si>
  <si>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</si>
  <si>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</si>
  <si>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</si>
  <si>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</si>
  <si>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</si>
  <si>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</si>
  <si>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</si>
  <si>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</si>
  <si>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</si>
  <si>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</si>
  <si>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</si>
  <si>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</si>
  <si>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</si>
  <si>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</si>
  <si>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</si>
  <si>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</si>
  <si>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</si>
  <si>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</si>
  <si>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</si>
  <si>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</si>
  <si>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</si>
  <si>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</si>
  <si>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</si>
  <si>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</si>
  <si>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</si>
  <si>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</si>
  <si>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</si>
  <si>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</si>
  <si>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</si>
  <si>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</si>
  <si>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</si>
  <si>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</si>
  <si>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</si>
  <si>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</si>
  <si>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</si>
  <si>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</si>
  <si>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</si>
  <si>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</si>
  <si>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</si>
  <si>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</si>
  <si>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</si>
  <si>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</si>
  <si>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</si>
  <si>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</si>
  <si>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</si>
  <si>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</si>
  <si>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</si>
  <si>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</si>
  <si>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</si>
  <si>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</si>
  <si>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</si>
  <si>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</si>
  <si>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</si>
  <si>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</si>
  <si>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</si>
  <si>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</si>
  <si>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</si>
  <si>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</si>
  <si>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</si>
  <si>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</si>
  <si>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</si>
  <si>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</si>
  <si>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</si>
  <si>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</si>
  <si>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</si>
  <si>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</si>
  <si>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</si>
  <si>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</si>
  <si>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</si>
  <si>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</si>
  <si>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</si>
  <si>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</si>
  <si>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</si>
  <si>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</si>
  <si>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</si>
  <si>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</si>
  <si>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</si>
  <si>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</si>
  <si>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</si>
  <si>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</si>
  <si>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</si>
  <si>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</si>
  <si>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</si>
  <si>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</si>
  <si>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</si>
  <si>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</si>
  <si>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</si>
  <si>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</si>
  <si>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</si>
  <si>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</si>
  <si>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</si>
  <si>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</si>
  <si>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</si>
  <si>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</si>
  <si>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</si>
  <si>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</si>
  <si>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</si>
  <si>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</si>
  <si>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</si>
  <si>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</si>
  <si>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</si>
  <si>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</si>
  <si>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</si>
  <si>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</si>
  <si>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</si>
  <si>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</si>
  <si>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</si>
  <si>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</si>
  <si>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</si>
  <si>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</si>
  <si>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</si>
  <si>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</si>
  <si>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</si>
  <si>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</si>
  <si>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</si>
  <si>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</si>
  <si>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</si>
  <si>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</si>
  <si>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</si>
  <si>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</si>
  <si>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</si>
  <si>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</si>
  <si>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</si>
  <si>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</si>
  <si>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</si>
  <si>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</si>
  <si>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</si>
  <si>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</si>
  <si>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</si>
  <si>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</si>
  <si>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</si>
  <si>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</si>
  <si>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</si>
  <si>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</si>
  <si>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</si>
  <si>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</si>
  <si>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</si>
  <si>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</si>
  <si>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</si>
  <si>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</si>
  <si>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</si>
  <si>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  </t>
  </si>
  <si>
    <t xml:space="preserve">    Welcome to     Data Cleaning    </t>
  </si>
  <si>
    <t>NA</t>
  </si>
  <si>
    <t>Study</t>
  </si>
  <si>
    <t>Other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</si>
  <si>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</si>
  <si>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</si>
  <si>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</si>
  <si>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</si>
  <si>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</si>
  <si>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</si>
  <si>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</si>
  <si>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</si>
  <si>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</si>
  <si>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</si>
  <si>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</si>
  <si>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</si>
  <si>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aRuN    muKHerjee</t>
  </si>
  <si>
    <t xml:space="preserve">   barUn    DuTTa   </t>
  </si>
  <si>
    <t xml:space="preserve">        aVI    saNyal    </t>
  </si>
  <si>
    <t xml:space="preserve">    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</si>
  <si>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</si>
  <si>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</si>
  <si>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</si>
  <si>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</si>
  <si>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</si>
  <si>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</si>
  <si>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</si>
  <si>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</si>
  <si>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</si>
  <si>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</si>
  <si>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Word, Excel, Power Point, Outlook, Publisher, Visio, Access, Project, One Note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</si>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</sst>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16" fillId="8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50" zoomScaleNormal="150" workbookViewId="0">
      <selection activeCell="B4" sqref="B4:B7"/>
    </sheetView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2</v>
      </c>
    </row>
    <row r="5" spans="2:4">
      <c r="B5" s="1" t="s">
        <v>1341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3</v>
      </c>
      <c r="C6" s="1" t="str">
        <f t="shared" si="0"/>
        <v>Welcome to Data Cleaning</v>
      </c>
      <c r="D6" t="s">
        <v>2</v>
      </c>
    </row>
    <row r="7" spans="2:4">
      <c r="B7" s="1" t="s">
        <v>4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15" sqref="I15"/>
    </sheetView>
  </sheetViews>
  <sheetFormatPr defaultRowHeight="14.5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workbookViewId="0">
      <selection activeCell="D20" sqref="D20"/>
    </sheetView>
  </sheetViews>
  <sheetFormatPr defaultRowHeight="14.5"/>
  <cols>
    <col min="2" max="2" width="45.81640625" customWidth="1"/>
    <col min="3" max="3" width="34.08984375" customWidth="1"/>
  </cols>
  <sheetData>
    <row r="3" spans="2:3">
      <c r="B3" s="6" t="s">
        <v>40</v>
      </c>
    </row>
    <row r="4" spans="2:3">
      <c r="B4" s="48" t="s">
        <v>51</v>
      </c>
      <c r="C4" s="47"/>
    </row>
    <row r="5" spans="2:3">
      <c r="B5" s="48" t="s">
        <v>52</v>
      </c>
    </row>
    <row r="6" spans="2:3">
      <c r="B6" s="48" t="s">
        <v>54</v>
      </c>
    </row>
    <row r="7" spans="2:3">
      <c r="B7" s="48" t="s">
        <v>53</v>
      </c>
    </row>
    <row r="9" spans="2:3">
      <c r="B9" s="6" t="s">
        <v>55</v>
      </c>
    </row>
    <row r="10" spans="2:3">
      <c r="B10" s="14" t="s">
        <v>1372</v>
      </c>
    </row>
    <row r="11" spans="2:3">
      <c r="B11" s="14" t="s">
        <v>1373</v>
      </c>
    </row>
    <row r="12" spans="2:3">
      <c r="B12" s="14" t="s">
        <v>1374</v>
      </c>
    </row>
    <row r="13" spans="2:3">
      <c r="B13" s="14" t="s">
        <v>1375</v>
      </c>
    </row>
    <row r="14" spans="2:3">
      <c r="B14" s="14" t="s">
        <v>1376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D1" workbookViewId="0">
      <selection activeCell="B4" sqref="B4:B7"/>
    </sheetView>
  </sheetViews>
  <sheetFormatPr defaultRowHeight="14.5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>
        <v>63.44</v>
      </c>
      <c r="I4" s="1">
        <v>1</v>
      </c>
      <c r="J4" s="1" t="s">
        <v>11</v>
      </c>
      <c r="K4" s="1" t="s">
        <v>12</v>
      </c>
      <c r="L4" s="43">
        <v>55</v>
      </c>
      <c r="M4" s="43">
        <v>65</v>
      </c>
      <c r="N4" s="43" t="s">
        <v>1342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8" t="s">
        <v>1342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43">
        <v>56</v>
      </c>
      <c r="M5" s="43">
        <v>76</v>
      </c>
      <c r="N5" s="43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>
        <v>63.44</v>
      </c>
      <c r="I6" s="1">
        <v>3</v>
      </c>
      <c r="J6" s="1" t="s">
        <v>14</v>
      </c>
      <c r="K6" s="1" t="s">
        <v>15</v>
      </c>
      <c r="L6" s="43">
        <v>75</v>
      </c>
      <c r="M6" s="43">
        <v>56</v>
      </c>
      <c r="N6" s="43" t="s">
        <v>1342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8" t="s">
        <v>1342</v>
      </c>
    </row>
    <row r="7" spans="2:21">
      <c r="B7" s="1">
        <v>4</v>
      </c>
      <c r="C7" s="1" t="s">
        <v>16</v>
      </c>
      <c r="D7" s="1" t="s">
        <v>15</v>
      </c>
      <c r="E7" s="1">
        <v>63.44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43" t="s">
        <v>1342</v>
      </c>
      <c r="M7" s="43">
        <v>34</v>
      </c>
      <c r="N7" s="43">
        <v>23</v>
      </c>
      <c r="P7" s="1">
        <v>4</v>
      </c>
      <c r="Q7" s="1" t="s">
        <v>16</v>
      </c>
      <c r="R7" s="1" t="s">
        <v>15</v>
      </c>
      <c r="S7" s="8" t="s">
        <v>1342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43">
        <v>36</v>
      </c>
      <c r="M8" s="43">
        <v>26</v>
      </c>
      <c r="N8" s="43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43">
        <v>78</v>
      </c>
      <c r="M9" s="43">
        <v>78</v>
      </c>
      <c r="N9" s="43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>
        <v>63.44</v>
      </c>
      <c r="G10" s="1">
        <v>56</v>
      </c>
      <c r="I10" s="1">
        <v>7</v>
      </c>
      <c r="J10" s="1" t="s">
        <v>19</v>
      </c>
      <c r="K10" s="1" t="s">
        <v>15</v>
      </c>
      <c r="L10" s="43">
        <v>16</v>
      </c>
      <c r="M10" s="43" t="s">
        <v>1342</v>
      </c>
      <c r="N10" s="43">
        <v>56</v>
      </c>
      <c r="P10" s="1">
        <v>7</v>
      </c>
      <c r="Q10" s="1" t="s">
        <v>19</v>
      </c>
      <c r="R10" s="1" t="s">
        <v>15</v>
      </c>
      <c r="S10" s="1">
        <v>16</v>
      </c>
      <c r="T10" s="8" t="s">
        <v>1342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43">
        <v>45</v>
      </c>
      <c r="M11" s="43">
        <v>87</v>
      </c>
      <c r="N11" s="43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>
        <v>63.44</v>
      </c>
      <c r="I12" s="1">
        <v>9</v>
      </c>
      <c r="J12" s="1" t="s">
        <v>21</v>
      </c>
      <c r="K12" s="1" t="s">
        <v>12</v>
      </c>
      <c r="L12" s="43">
        <v>67</v>
      </c>
      <c r="M12" s="43">
        <v>99</v>
      </c>
      <c r="N12" s="43" t="s">
        <v>1342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8" t="s">
        <v>1342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43">
        <v>98</v>
      </c>
      <c r="M13" s="43">
        <v>87</v>
      </c>
      <c r="N13" s="43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C15">
        <f>AVERAGE(E4:G13)</f>
        <v>63.440000000000012</v>
      </c>
    </row>
    <row r="16" spans="2:21" ht="15.5">
      <c r="B16" s="38" t="s">
        <v>1331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>
      <c r="B17" s="33" t="s">
        <v>43</v>
      </c>
      <c r="C17" s="33" t="s">
        <v>1305</v>
      </c>
      <c r="D17" s="33" t="s">
        <v>1306</v>
      </c>
      <c r="E17" s="33" t="s">
        <v>1307</v>
      </c>
      <c r="F17" s="34" t="s">
        <v>1332</v>
      </c>
      <c r="G17" s="33" t="s">
        <v>1308</v>
      </c>
      <c r="H17" s="33" t="s">
        <v>1309</v>
      </c>
      <c r="I17" s="33" t="s">
        <v>1310</v>
      </c>
      <c r="J17" s="34" t="s">
        <v>1333</v>
      </c>
      <c r="K17" s="33" t="s">
        <v>1311</v>
      </c>
      <c r="L17" s="33" t="s">
        <v>1312</v>
      </c>
      <c r="M17" s="33" t="s">
        <v>1313</v>
      </c>
      <c r="N17" s="34" t="s">
        <v>1334</v>
      </c>
      <c r="O17" s="33" t="s">
        <v>1314</v>
      </c>
      <c r="P17" s="33" t="s">
        <v>1315</v>
      </c>
      <c r="Q17" s="33" t="s">
        <v>1316</v>
      </c>
      <c r="R17" s="34" t="s">
        <v>1335</v>
      </c>
      <c r="S17" s="37" t="s">
        <v>1336</v>
      </c>
    </row>
    <row r="18" spans="2:19">
      <c r="B18" s="35" t="s">
        <v>1318</v>
      </c>
      <c r="C18" s="36">
        <v>1864</v>
      </c>
      <c r="D18" s="36">
        <v>1364</v>
      </c>
      <c r="E18" s="36">
        <v>1722</v>
      </c>
      <c r="F18" s="36">
        <f t="shared" ref="F18:F32" si="0">C18+D18+E18</f>
        <v>4950</v>
      </c>
      <c r="G18" s="36">
        <v>1833</v>
      </c>
      <c r="H18" s="36">
        <v>1896</v>
      </c>
      <c r="I18" s="36">
        <v>1678</v>
      </c>
      <c r="J18" s="36">
        <f t="shared" ref="J18:J32" si="1">G18+H18+I18</f>
        <v>5407</v>
      </c>
      <c r="K18" s="36">
        <v>1920</v>
      </c>
      <c r="L18" s="36">
        <v>1946</v>
      </c>
      <c r="M18" s="36">
        <v>1553</v>
      </c>
      <c r="N18" s="36">
        <f t="shared" ref="N18:N32" si="2">K18+L18+M18</f>
        <v>5419</v>
      </c>
      <c r="O18" s="36">
        <v>1511</v>
      </c>
      <c r="P18" s="36">
        <v>1421</v>
      </c>
      <c r="Q18" s="36">
        <v>1747</v>
      </c>
      <c r="R18" s="36">
        <f t="shared" ref="R18:R32" si="3">O18+P18+Q18</f>
        <v>4679</v>
      </c>
      <c r="S18" s="36">
        <f>F18+J18+N18+R18</f>
        <v>20455</v>
      </c>
    </row>
    <row r="19" spans="2:19">
      <c r="B19" s="35" t="s">
        <v>1319</v>
      </c>
      <c r="C19" s="36">
        <v>1402</v>
      </c>
      <c r="D19" s="36">
        <v>1773</v>
      </c>
      <c r="E19" s="36">
        <v>1333</v>
      </c>
      <c r="F19" s="36">
        <f t="shared" si="0"/>
        <v>4508</v>
      </c>
      <c r="G19" s="36">
        <v>1408</v>
      </c>
      <c r="H19" s="36">
        <v>1357</v>
      </c>
      <c r="I19" s="36">
        <v>1344</v>
      </c>
      <c r="J19" s="36">
        <f t="shared" si="1"/>
        <v>4109</v>
      </c>
      <c r="K19" s="36">
        <v>1691</v>
      </c>
      <c r="L19" s="36">
        <v>1589</v>
      </c>
      <c r="M19" s="36">
        <v>1383</v>
      </c>
      <c r="N19" s="36">
        <f t="shared" si="2"/>
        <v>4663</v>
      </c>
      <c r="O19" s="36">
        <v>1869</v>
      </c>
      <c r="P19" s="36">
        <v>1544</v>
      </c>
      <c r="Q19" s="36">
        <v>1309</v>
      </c>
      <c r="R19" s="36">
        <f t="shared" si="3"/>
        <v>4722</v>
      </c>
      <c r="S19" s="36">
        <f t="shared" ref="S19:S32" si="4">F19+J19+N19+R19</f>
        <v>18002</v>
      </c>
    </row>
    <row r="20" spans="2:19">
      <c r="B20" s="35" t="s">
        <v>1320</v>
      </c>
      <c r="C20" s="36">
        <v>1803</v>
      </c>
      <c r="D20" s="36">
        <v>1344</v>
      </c>
      <c r="E20" s="36">
        <v>1904</v>
      </c>
      <c r="F20" s="36">
        <f t="shared" si="0"/>
        <v>5051</v>
      </c>
      <c r="G20" s="36">
        <v>1988</v>
      </c>
      <c r="H20" s="36">
        <v>1315</v>
      </c>
      <c r="I20" s="36">
        <v>1728</v>
      </c>
      <c r="J20" s="36">
        <f t="shared" si="1"/>
        <v>5031</v>
      </c>
      <c r="K20" s="36">
        <v>1698</v>
      </c>
      <c r="L20" s="36">
        <v>1431</v>
      </c>
      <c r="M20" s="36">
        <v>1415</v>
      </c>
      <c r="N20" s="36">
        <f t="shared" si="2"/>
        <v>4544</v>
      </c>
      <c r="O20" s="36">
        <v>1776</v>
      </c>
      <c r="P20" s="36">
        <v>1861</v>
      </c>
      <c r="Q20" s="36">
        <v>1382</v>
      </c>
      <c r="R20" s="36">
        <f t="shared" si="3"/>
        <v>5019</v>
      </c>
      <c r="S20" s="36">
        <f t="shared" si="4"/>
        <v>19645</v>
      </c>
    </row>
    <row r="21" spans="2:19">
      <c r="B21" s="35" t="s">
        <v>1321</v>
      </c>
      <c r="C21" s="36">
        <v>1398</v>
      </c>
      <c r="D21" s="36">
        <v>1203</v>
      </c>
      <c r="E21" s="36">
        <v>1970</v>
      </c>
      <c r="F21" s="36">
        <f t="shared" si="0"/>
        <v>4571</v>
      </c>
      <c r="G21" s="36">
        <v>1846</v>
      </c>
      <c r="H21" s="36">
        <v>1957</v>
      </c>
      <c r="I21" s="36">
        <v>1622</v>
      </c>
      <c r="J21" s="36">
        <f t="shared" si="1"/>
        <v>5425</v>
      </c>
      <c r="K21" s="36">
        <v>1583</v>
      </c>
      <c r="L21" s="36">
        <v>1352</v>
      </c>
      <c r="M21" s="36">
        <v>1837</v>
      </c>
      <c r="N21" s="36">
        <f t="shared" si="2"/>
        <v>4772</v>
      </c>
      <c r="O21" s="36">
        <v>1978</v>
      </c>
      <c r="P21" s="36">
        <v>1392</v>
      </c>
      <c r="Q21" s="36">
        <v>1525</v>
      </c>
      <c r="R21" s="36">
        <f t="shared" si="3"/>
        <v>4895</v>
      </c>
      <c r="S21" s="36">
        <f t="shared" si="4"/>
        <v>19663</v>
      </c>
    </row>
    <row r="22" spans="2:19">
      <c r="B22" s="35" t="s">
        <v>1322</v>
      </c>
      <c r="C22" s="36">
        <v>1636</v>
      </c>
      <c r="D22" s="36">
        <v>1525</v>
      </c>
      <c r="E22" s="36">
        <v>1682</v>
      </c>
      <c r="F22" s="36">
        <f t="shared" si="0"/>
        <v>4843</v>
      </c>
      <c r="G22" s="36">
        <v>1390</v>
      </c>
      <c r="H22" s="36">
        <v>1965</v>
      </c>
      <c r="I22" s="36">
        <v>1779</v>
      </c>
      <c r="J22" s="36">
        <f t="shared" si="1"/>
        <v>5134</v>
      </c>
      <c r="K22" s="36">
        <v>1923</v>
      </c>
      <c r="L22" s="36">
        <v>1458</v>
      </c>
      <c r="M22" s="36">
        <v>1466</v>
      </c>
      <c r="N22" s="36">
        <f t="shared" si="2"/>
        <v>4847</v>
      </c>
      <c r="O22" s="36">
        <v>1304</v>
      </c>
      <c r="P22" s="36">
        <v>1849</v>
      </c>
      <c r="Q22" s="36">
        <v>1470</v>
      </c>
      <c r="R22" s="36">
        <f t="shared" si="3"/>
        <v>4623</v>
      </c>
      <c r="S22" s="36">
        <f t="shared" si="4"/>
        <v>19447</v>
      </c>
    </row>
    <row r="23" spans="2:19">
      <c r="B23" s="35" t="s">
        <v>1323</v>
      </c>
      <c r="C23" s="36">
        <v>1481</v>
      </c>
      <c r="D23" s="36">
        <v>1658</v>
      </c>
      <c r="E23" s="36">
        <v>1320</v>
      </c>
      <c r="F23" s="36">
        <f t="shared" si="0"/>
        <v>4459</v>
      </c>
      <c r="G23" s="36">
        <v>1746</v>
      </c>
      <c r="H23" s="36">
        <v>1249</v>
      </c>
      <c r="I23" s="36">
        <v>1349</v>
      </c>
      <c r="J23" s="36">
        <f t="shared" si="1"/>
        <v>4344</v>
      </c>
      <c r="K23" s="36">
        <v>1892</v>
      </c>
      <c r="L23" s="36">
        <v>1656</v>
      </c>
      <c r="M23" s="36">
        <v>1905</v>
      </c>
      <c r="N23" s="36">
        <f>K23+L23+M23</f>
        <v>5453</v>
      </c>
      <c r="O23" s="36">
        <v>1506</v>
      </c>
      <c r="P23" s="36">
        <v>1505</v>
      </c>
      <c r="Q23" s="36">
        <v>1718</v>
      </c>
      <c r="R23" s="36">
        <f t="shared" si="3"/>
        <v>4729</v>
      </c>
      <c r="S23" s="36">
        <f t="shared" si="4"/>
        <v>18985</v>
      </c>
    </row>
    <row r="24" spans="2:19">
      <c r="B24" s="35" t="s">
        <v>1324</v>
      </c>
      <c r="C24" s="36">
        <v>1948</v>
      </c>
      <c r="D24" s="36">
        <v>1481</v>
      </c>
      <c r="E24" s="36">
        <v>1985</v>
      </c>
      <c r="F24" s="36">
        <f t="shared" si="0"/>
        <v>5414</v>
      </c>
      <c r="G24" s="36">
        <v>1805</v>
      </c>
      <c r="H24" s="36">
        <v>1453</v>
      </c>
      <c r="I24" s="36">
        <v>1336</v>
      </c>
      <c r="J24" s="36">
        <f t="shared" si="1"/>
        <v>4594</v>
      </c>
      <c r="K24" s="36">
        <v>1645</v>
      </c>
      <c r="L24" s="36">
        <v>1782</v>
      </c>
      <c r="M24" s="36">
        <v>1962</v>
      </c>
      <c r="N24" s="36">
        <f t="shared" si="2"/>
        <v>5389</v>
      </c>
      <c r="O24" s="36">
        <v>1229</v>
      </c>
      <c r="P24" s="36">
        <v>1619</v>
      </c>
      <c r="Q24" s="36">
        <v>1261</v>
      </c>
      <c r="R24" s="36">
        <f t="shared" si="3"/>
        <v>4109</v>
      </c>
      <c r="S24" s="36">
        <f t="shared" si="4"/>
        <v>19506</v>
      </c>
    </row>
    <row r="25" spans="2:19">
      <c r="B25" s="35" t="s">
        <v>1325</v>
      </c>
      <c r="C25" s="36">
        <v>1785</v>
      </c>
      <c r="D25" s="36">
        <v>1757</v>
      </c>
      <c r="E25" s="36">
        <v>1242</v>
      </c>
      <c r="F25" s="36">
        <f t="shared" si="0"/>
        <v>4784</v>
      </c>
      <c r="G25" s="36">
        <v>1316</v>
      </c>
      <c r="H25" s="36">
        <v>1420</v>
      </c>
      <c r="I25" s="36">
        <v>1757</v>
      </c>
      <c r="J25" s="36">
        <f t="shared" si="1"/>
        <v>4493</v>
      </c>
      <c r="K25" s="36">
        <v>1546</v>
      </c>
      <c r="L25" s="36">
        <v>1212</v>
      </c>
      <c r="M25" s="36">
        <v>1584</v>
      </c>
      <c r="N25" s="36">
        <f t="shared" si="2"/>
        <v>4342</v>
      </c>
      <c r="O25" s="36">
        <v>1776</v>
      </c>
      <c r="P25" s="36">
        <v>1257</v>
      </c>
      <c r="Q25" s="36">
        <v>1653</v>
      </c>
      <c r="R25" s="36">
        <f t="shared" si="3"/>
        <v>4686</v>
      </c>
      <c r="S25" s="36">
        <f t="shared" si="4"/>
        <v>18305</v>
      </c>
    </row>
    <row r="26" spans="2:19">
      <c r="B26" s="35" t="s">
        <v>1326</v>
      </c>
      <c r="C26" s="36">
        <v>1851</v>
      </c>
      <c r="D26" s="36">
        <v>1253</v>
      </c>
      <c r="E26" s="36">
        <v>1202</v>
      </c>
      <c r="F26" s="36">
        <f t="shared" si="0"/>
        <v>4306</v>
      </c>
      <c r="G26" s="36">
        <v>1685</v>
      </c>
      <c r="H26" s="36">
        <v>1794</v>
      </c>
      <c r="I26" s="36">
        <v>1836</v>
      </c>
      <c r="J26" s="36">
        <f t="shared" si="1"/>
        <v>5315</v>
      </c>
      <c r="K26" s="36">
        <v>1829</v>
      </c>
      <c r="L26" s="36">
        <v>1482</v>
      </c>
      <c r="M26" s="36">
        <v>1915</v>
      </c>
      <c r="N26" s="36">
        <f t="shared" si="2"/>
        <v>5226</v>
      </c>
      <c r="O26" s="36">
        <v>1420</v>
      </c>
      <c r="P26" s="36">
        <v>1219</v>
      </c>
      <c r="Q26" s="36">
        <v>1887</v>
      </c>
      <c r="R26" s="36">
        <f t="shared" si="3"/>
        <v>4526</v>
      </c>
      <c r="S26" s="36">
        <f t="shared" si="4"/>
        <v>19373</v>
      </c>
    </row>
    <row r="27" spans="2:19">
      <c r="B27" s="35" t="s">
        <v>1327</v>
      </c>
      <c r="C27" s="36">
        <v>1591</v>
      </c>
      <c r="D27" s="36">
        <v>1824</v>
      </c>
      <c r="E27" s="36">
        <v>1912</v>
      </c>
      <c r="F27" s="36">
        <f t="shared" si="0"/>
        <v>5327</v>
      </c>
      <c r="G27" s="36">
        <v>1342</v>
      </c>
      <c r="H27" s="36">
        <v>1546</v>
      </c>
      <c r="I27" s="36">
        <v>1760</v>
      </c>
      <c r="J27" s="36">
        <f t="shared" si="1"/>
        <v>4648</v>
      </c>
      <c r="K27" s="36">
        <v>1267</v>
      </c>
      <c r="L27" s="36">
        <v>1668</v>
      </c>
      <c r="M27" s="36">
        <v>1947</v>
      </c>
      <c r="N27" s="36">
        <f t="shared" si="2"/>
        <v>4882</v>
      </c>
      <c r="O27" s="36">
        <v>1348</v>
      </c>
      <c r="P27" s="36">
        <v>1949</v>
      </c>
      <c r="Q27" s="36">
        <v>1706</v>
      </c>
      <c r="R27" s="36">
        <f t="shared" si="3"/>
        <v>5003</v>
      </c>
      <c r="S27" s="36">
        <f t="shared" si="4"/>
        <v>19860</v>
      </c>
    </row>
    <row r="28" spans="2:19">
      <c r="B28" s="35" t="s">
        <v>1328</v>
      </c>
      <c r="C28" s="36">
        <v>1470</v>
      </c>
      <c r="D28" s="36">
        <v>1439</v>
      </c>
      <c r="E28" s="36">
        <v>1915</v>
      </c>
      <c r="F28" s="36">
        <f t="shared" si="0"/>
        <v>4824</v>
      </c>
      <c r="G28" s="36">
        <v>1865</v>
      </c>
      <c r="H28" s="36">
        <v>1768</v>
      </c>
      <c r="I28" s="36">
        <v>1315</v>
      </c>
      <c r="J28" s="36">
        <f t="shared" si="1"/>
        <v>4948</v>
      </c>
      <c r="K28" s="36">
        <v>1680</v>
      </c>
      <c r="L28" s="36">
        <v>1761</v>
      </c>
      <c r="M28" s="36">
        <v>1803</v>
      </c>
      <c r="N28" s="36">
        <f t="shared" si="2"/>
        <v>5244</v>
      </c>
      <c r="O28" s="36">
        <v>1514</v>
      </c>
      <c r="P28" s="36">
        <v>1320</v>
      </c>
      <c r="Q28" s="36">
        <v>1687</v>
      </c>
      <c r="R28" s="36">
        <f t="shared" si="3"/>
        <v>4521</v>
      </c>
      <c r="S28" s="36">
        <f t="shared" si="4"/>
        <v>19537</v>
      </c>
    </row>
    <row r="29" spans="2:19">
      <c r="B29" s="35" t="s">
        <v>1329</v>
      </c>
      <c r="C29" s="36">
        <v>1569</v>
      </c>
      <c r="D29" s="36">
        <v>1704</v>
      </c>
      <c r="E29" s="36">
        <v>1484</v>
      </c>
      <c r="F29" s="36">
        <f t="shared" si="0"/>
        <v>4757</v>
      </c>
      <c r="G29" s="36">
        <v>1453</v>
      </c>
      <c r="H29" s="36">
        <v>1400</v>
      </c>
      <c r="I29" s="36">
        <v>1624</v>
      </c>
      <c r="J29" s="36">
        <f t="shared" si="1"/>
        <v>4477</v>
      </c>
      <c r="K29" s="36">
        <v>1442</v>
      </c>
      <c r="L29" s="36">
        <v>1835</v>
      </c>
      <c r="M29" s="36">
        <v>1721</v>
      </c>
      <c r="N29" s="36">
        <f t="shared" si="2"/>
        <v>4998</v>
      </c>
      <c r="O29" s="36">
        <v>1452</v>
      </c>
      <c r="P29" s="36">
        <v>1210</v>
      </c>
      <c r="Q29" s="36">
        <v>1644</v>
      </c>
      <c r="R29" s="36">
        <f t="shared" si="3"/>
        <v>4306</v>
      </c>
      <c r="S29" s="36">
        <f t="shared" si="4"/>
        <v>18538</v>
      </c>
    </row>
    <row r="30" spans="2:19">
      <c r="B30" s="35" t="s">
        <v>1330</v>
      </c>
      <c r="C30" s="36">
        <v>1662</v>
      </c>
      <c r="D30" s="36">
        <v>1239</v>
      </c>
      <c r="E30" s="36">
        <v>1628</v>
      </c>
      <c r="F30" s="36">
        <f t="shared" si="0"/>
        <v>4529</v>
      </c>
      <c r="G30" s="36">
        <v>1707</v>
      </c>
      <c r="H30" s="36">
        <v>1646</v>
      </c>
      <c r="I30" s="36">
        <v>1750</v>
      </c>
      <c r="J30" s="36">
        <f>G30+H30+I30</f>
        <v>5103</v>
      </c>
      <c r="K30" s="36">
        <v>1830</v>
      </c>
      <c r="L30" s="36">
        <v>1599</v>
      </c>
      <c r="M30" s="36">
        <v>1326</v>
      </c>
      <c r="N30" s="36">
        <f t="shared" si="2"/>
        <v>4755</v>
      </c>
      <c r="O30" s="36">
        <v>1367</v>
      </c>
      <c r="P30" s="36">
        <v>1708</v>
      </c>
      <c r="Q30" s="36">
        <v>1509</v>
      </c>
      <c r="R30" s="36">
        <f t="shared" si="3"/>
        <v>4584</v>
      </c>
      <c r="S30" s="36">
        <f t="shared" si="4"/>
        <v>18971</v>
      </c>
    </row>
    <row r="31" spans="2:19">
      <c r="B31" s="35" t="s">
        <v>1337</v>
      </c>
      <c r="C31" s="36">
        <v>1848</v>
      </c>
      <c r="D31" s="36">
        <v>1636</v>
      </c>
      <c r="E31" s="36">
        <v>1841</v>
      </c>
      <c r="F31" s="36">
        <f t="shared" si="0"/>
        <v>5325</v>
      </c>
      <c r="G31" s="36">
        <v>1720</v>
      </c>
      <c r="H31" s="36">
        <v>1238</v>
      </c>
      <c r="I31" s="36">
        <v>1957</v>
      </c>
      <c r="J31" s="36">
        <f t="shared" si="1"/>
        <v>4915</v>
      </c>
      <c r="K31" s="36">
        <v>1392</v>
      </c>
      <c r="L31" s="36">
        <v>1989</v>
      </c>
      <c r="M31" s="36">
        <v>1777</v>
      </c>
      <c r="N31" s="36">
        <f t="shared" si="2"/>
        <v>5158</v>
      </c>
      <c r="O31" s="36">
        <v>1811</v>
      </c>
      <c r="P31" s="36">
        <v>1849</v>
      </c>
      <c r="Q31" s="36">
        <v>1756</v>
      </c>
      <c r="R31" s="36">
        <f t="shared" si="3"/>
        <v>5416</v>
      </c>
      <c r="S31" s="36">
        <f t="shared" si="4"/>
        <v>20814</v>
      </c>
    </row>
    <row r="32" spans="2:19">
      <c r="B32" s="35" t="s">
        <v>1338</v>
      </c>
      <c r="C32" s="36">
        <v>1691</v>
      </c>
      <c r="D32" s="36">
        <v>1826</v>
      </c>
      <c r="E32" s="36">
        <v>1389</v>
      </c>
      <c r="F32" s="36">
        <f t="shared" si="0"/>
        <v>4906</v>
      </c>
      <c r="G32" s="36">
        <v>1791</v>
      </c>
      <c r="H32" s="36">
        <v>1361</v>
      </c>
      <c r="I32" s="36">
        <v>1367</v>
      </c>
      <c r="J32" s="36">
        <f t="shared" si="1"/>
        <v>4519</v>
      </c>
      <c r="K32" s="36">
        <v>1678</v>
      </c>
      <c r="L32" s="36">
        <v>1860</v>
      </c>
      <c r="M32" s="36">
        <v>1642</v>
      </c>
      <c r="N32" s="36">
        <f t="shared" si="2"/>
        <v>5180</v>
      </c>
      <c r="O32" s="36">
        <v>1535</v>
      </c>
      <c r="P32" s="36">
        <v>1690</v>
      </c>
      <c r="Q32" s="36">
        <v>1687</v>
      </c>
      <c r="R32" s="36">
        <f t="shared" si="3"/>
        <v>4912</v>
      </c>
      <c r="S32" s="36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0" workbookViewId="0">
      <selection activeCell="I18" sqref="I18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K2" s="44">
        <v>100</v>
      </c>
    </row>
    <row r="3" spans="3:18">
      <c r="C3" s="2" t="s">
        <v>23</v>
      </c>
      <c r="K3" s="44" t="s">
        <v>1343</v>
      </c>
    </row>
    <row r="4" spans="3:18">
      <c r="C4">
        <v>100</v>
      </c>
      <c r="D4" t="b">
        <f>$F$4&gt;C4</f>
        <v>1</v>
      </c>
      <c r="F4">
        <v>200</v>
      </c>
      <c r="K4" s="44" t="b">
        <v>1</v>
      </c>
    </row>
    <row r="5" spans="3:18">
      <c r="C5">
        <v>100</v>
      </c>
      <c r="D5" t="b">
        <f t="shared" ref="D5:D6" si="0">$F$4&gt;C5</f>
        <v>1</v>
      </c>
      <c r="K5" s="44" t="b">
        <v>0</v>
      </c>
    </row>
    <row r="6" spans="3:18">
      <c r="C6">
        <v>100</v>
      </c>
      <c r="D6" t="b">
        <f t="shared" si="0"/>
        <v>1</v>
      </c>
    </row>
    <row r="10" spans="3:18" ht="15.5">
      <c r="C10" s="39" t="s">
        <v>1304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45">
        <v>0.7</v>
      </c>
    </row>
    <row r="12" spans="3:18">
      <c r="C12" s="32" t="s">
        <v>1318</v>
      </c>
      <c r="D12" s="46">
        <f>5000*(1+$R$11)</f>
        <v>8500</v>
      </c>
      <c r="E12" s="46">
        <f>2968*(1+$R$11)</f>
        <v>5045.5999999999995</v>
      </c>
      <c r="F12" s="46">
        <f>4383*(1+$R$11)</f>
        <v>7451.0999999999995</v>
      </c>
      <c r="G12" s="46">
        <f>3918*(1+$R$11)</f>
        <v>6660.5999999999995</v>
      </c>
      <c r="H12" s="46">
        <f>2612*(1+$R$11)</f>
        <v>4440.3999999999996</v>
      </c>
      <c r="I12" s="46">
        <f>2945*(1+$R$11)</f>
        <v>5006.5</v>
      </c>
      <c r="J12" s="46">
        <f>4306*(1+$R$11)</f>
        <v>7320.2</v>
      </c>
      <c r="K12" s="46">
        <f>2325*(1+$R$11)</f>
        <v>3952.5</v>
      </c>
      <c r="L12" s="46">
        <f>4922*(1+$R$11)</f>
        <v>8367.4</v>
      </c>
      <c r="M12" s="46">
        <f>2316*(1+$R$11)</f>
        <v>3937.2</v>
      </c>
      <c r="N12" s="46">
        <f>3427*(1+$R$11)</f>
        <v>5825.9</v>
      </c>
      <c r="O12" s="46">
        <f>1520*(1+$R$11)</f>
        <v>2584</v>
      </c>
      <c r="R12">
        <f>1+$R$11</f>
        <v>1.7</v>
      </c>
    </row>
    <row r="13" spans="3:18">
      <c r="C13" s="32" t="s">
        <v>1319</v>
      </c>
      <c r="D13" s="46">
        <f>3393*(1+$R$11)</f>
        <v>5768.0999999999995</v>
      </c>
      <c r="E13" s="46">
        <f>3032*(1+$R$11)</f>
        <v>5154.3999999999996</v>
      </c>
      <c r="F13" s="46">
        <f>3322*(1+$R$11)</f>
        <v>5647.4</v>
      </c>
      <c r="G13" s="46">
        <f>4307*(1+$R$11)</f>
        <v>7321.9</v>
      </c>
      <c r="H13" s="46">
        <f>3854*(1+$R$11)</f>
        <v>6551.8</v>
      </c>
      <c r="I13" s="46">
        <f>4647*(1+$R$11)</f>
        <v>7899.9</v>
      </c>
      <c r="J13" s="46">
        <f>4987*(1+$R$11)</f>
        <v>8477.9</v>
      </c>
      <c r="K13" s="46">
        <f>2470*(1+$R$11)</f>
        <v>4199</v>
      </c>
      <c r="L13" s="46">
        <f>2028*(1+$R$11)</f>
        <v>3447.6</v>
      </c>
      <c r="M13" s="46">
        <f>3607*(1+$R$11)</f>
        <v>6131.9</v>
      </c>
      <c r="N13" s="46">
        <f>1717*(1+$R$11)</f>
        <v>2918.9</v>
      </c>
      <c r="O13" s="46">
        <f>4951*(1+$R$11)</f>
        <v>8416.6999999999989</v>
      </c>
    </row>
    <row r="14" spans="3:18">
      <c r="C14" s="32" t="s">
        <v>1320</v>
      </c>
      <c r="D14" s="46">
        <f>4140*(1+$R$11)</f>
        <v>7038</v>
      </c>
      <c r="E14" s="46">
        <f>2040*(1+$R$11)</f>
        <v>3468</v>
      </c>
      <c r="F14" s="46">
        <f>4979*(1+$R$11)</f>
        <v>8464.2999999999993</v>
      </c>
      <c r="G14" s="46">
        <f>4183*(1+$R$11)</f>
        <v>7111.0999999999995</v>
      </c>
      <c r="H14" s="46">
        <f>3380*(1+$R$11)</f>
        <v>5746</v>
      </c>
      <c r="I14" s="46">
        <f>4843*(1+$R$11)</f>
        <v>8233.1</v>
      </c>
      <c r="J14" s="46">
        <f>4930*(1+$R$11)</f>
        <v>8381</v>
      </c>
      <c r="K14" s="46">
        <f>1514*(1+$R$11)</f>
        <v>2573.7999999999997</v>
      </c>
      <c r="L14" s="46">
        <f>1744*(1+$R$11)</f>
        <v>2964.7999999999997</v>
      </c>
      <c r="M14" s="46">
        <f>2201*(1+$R$11)</f>
        <v>3741.7</v>
      </c>
      <c r="N14" s="46">
        <f>2015*(1+$R$11)</f>
        <v>3425.5</v>
      </c>
      <c r="O14" s="46">
        <f>2297*(1+$R$11)</f>
        <v>3904.9</v>
      </c>
    </row>
    <row r="15" spans="3:18">
      <c r="C15" s="32" t="s">
        <v>1321</v>
      </c>
      <c r="D15" s="46">
        <f>3750*(1+$R$11)</f>
        <v>6375</v>
      </c>
      <c r="E15" s="46">
        <f>3861*(1+$R$11)</f>
        <v>6563.7</v>
      </c>
      <c r="F15" s="46">
        <f>3908*(1+$R$11)</f>
        <v>6643.5999999999995</v>
      </c>
      <c r="G15" s="46">
        <f>4991*(1+$R$11)</f>
        <v>8484.6999999999989</v>
      </c>
      <c r="H15" s="46">
        <f>2523*(1+$R$11)</f>
        <v>4289.0999999999995</v>
      </c>
      <c r="I15" s="46">
        <f>3905*(1+$R$11)</f>
        <v>6638.5</v>
      </c>
      <c r="J15" s="46">
        <f>2979*(1+$R$11)</f>
        <v>5064.3</v>
      </c>
      <c r="K15" s="46">
        <f>2445*(1+$R$11)</f>
        <v>4156.5</v>
      </c>
      <c r="L15" s="46">
        <f>3866*(1+$R$11)</f>
        <v>6572.2</v>
      </c>
      <c r="M15" s="46">
        <f>1915*(1+$R$11)</f>
        <v>3255.5</v>
      </c>
      <c r="N15" s="46">
        <f>1861*(1+$R$11)</f>
        <v>3163.7</v>
      </c>
      <c r="O15" s="46">
        <f>4929*(1+$R$11)</f>
        <v>8379.2999999999993</v>
      </c>
    </row>
    <row r="16" spans="3:18">
      <c r="C16" s="32" t="s">
        <v>1322</v>
      </c>
      <c r="D16" s="46">
        <f>3064*(1+$R$11)</f>
        <v>5208.8</v>
      </c>
      <c r="E16" s="46">
        <f>4754*(1+$R$11)</f>
        <v>8081.8</v>
      </c>
      <c r="F16" s="46">
        <f>3470*(1+$R$11)</f>
        <v>5899</v>
      </c>
      <c r="G16" s="46">
        <f>4750*(1+$R$11)</f>
        <v>8075</v>
      </c>
      <c r="H16" s="46">
        <f>2693*(1+$R$11)</f>
        <v>4578.0999999999995</v>
      </c>
      <c r="I16" s="46">
        <f>1728*(1+$R$11)</f>
        <v>2937.6</v>
      </c>
      <c r="J16" s="46">
        <f>3380*(1+$R$11)</f>
        <v>5746</v>
      </c>
      <c r="K16" s="46">
        <f>1760*(1+$R$11)</f>
        <v>2992</v>
      </c>
      <c r="L16" s="46">
        <f>3300*(1+$R$11)</f>
        <v>5610</v>
      </c>
      <c r="M16" s="46">
        <f>3335*(1+$R$11)</f>
        <v>5669.5</v>
      </c>
      <c r="N16" s="46">
        <f>4702*(1+$R$11)</f>
        <v>7993.4</v>
      </c>
      <c r="O16" s="46">
        <f>2216*(1+$R$11)</f>
        <v>3767.2</v>
      </c>
    </row>
    <row r="17" spans="3:15">
      <c r="C17" s="32" t="s">
        <v>1323</v>
      </c>
      <c r="D17" s="46">
        <f>4581*(1+$R$11)</f>
        <v>7787.7</v>
      </c>
      <c r="E17" s="46">
        <f>3755*(1+$R$11)</f>
        <v>6383.5</v>
      </c>
      <c r="F17" s="46">
        <f>2621*(1+$R$11)</f>
        <v>4455.7</v>
      </c>
      <c r="G17" s="46">
        <f>3657*(1+$R$11)</f>
        <v>6216.9</v>
      </c>
      <c r="H17" s="46">
        <f>4185*(1+$R$11)</f>
        <v>7114.5</v>
      </c>
      <c r="I17" s="46">
        <f>2632*(1+$R$11)</f>
        <v>4474.3999999999996</v>
      </c>
      <c r="J17" s="46">
        <f>3916*(1+$R$11)</f>
        <v>6657.2</v>
      </c>
      <c r="K17" s="46">
        <f>2254*(1+$R$11)</f>
        <v>3831.7999999999997</v>
      </c>
      <c r="L17" s="46">
        <f>4753*(1+$R$11)</f>
        <v>8080.0999999999995</v>
      </c>
      <c r="M17" s="46">
        <f>4766*(1+$R$11)</f>
        <v>8102.2</v>
      </c>
      <c r="N17" s="46">
        <f>2678*(1+$R$11)</f>
        <v>4552.5999999999995</v>
      </c>
      <c r="O17" s="46">
        <f>3993*(1+$R$11)</f>
        <v>6788.0999999999995</v>
      </c>
    </row>
    <row r="18" spans="3:15">
      <c r="C18" s="32" t="s">
        <v>1324</v>
      </c>
      <c r="D18" s="46">
        <f>2181*(1+$R$11)</f>
        <v>3707.7</v>
      </c>
      <c r="E18" s="46">
        <f>4212*(1+$R$11)</f>
        <v>7160.4</v>
      </c>
      <c r="F18" s="46">
        <f>4801*(1+$R$11)</f>
        <v>8161.7</v>
      </c>
      <c r="G18" s="46">
        <f>3645*(1+$R$11)</f>
        <v>6196.5</v>
      </c>
      <c r="H18" s="46">
        <f>2109*(1+$R$11)</f>
        <v>3585.2999999999997</v>
      </c>
      <c r="I18" s="46">
        <f>2644*(1+$R$11)</f>
        <v>4494.8</v>
      </c>
      <c r="J18" s="46">
        <f>3256*(1+$R$11)</f>
        <v>5535.2</v>
      </c>
      <c r="K18" s="46">
        <f>3785*(1+$R$11)</f>
        <v>6434.5</v>
      </c>
      <c r="L18" s="46">
        <f>2724*(1+$R$11)</f>
        <v>4630.8</v>
      </c>
      <c r="M18" s="46">
        <f>3167*(1+$R$11)</f>
        <v>5383.9</v>
      </c>
      <c r="N18" s="46">
        <f>3911*(1+$R$11)</f>
        <v>6648.7</v>
      </c>
      <c r="O18" s="46">
        <f>4738*(1+$R$11)</f>
        <v>8054.5999999999995</v>
      </c>
    </row>
    <row r="19" spans="3:15">
      <c r="C19" s="32" t="s">
        <v>1325</v>
      </c>
      <c r="D19" s="46">
        <f>3411*(1+$R$11)</f>
        <v>5798.7</v>
      </c>
      <c r="E19" s="46">
        <f>1541*(1+$R$11)</f>
        <v>2619.6999999999998</v>
      </c>
      <c r="F19" s="46">
        <f>2495*(1+$R$11)</f>
        <v>4241.5</v>
      </c>
      <c r="G19" s="46">
        <f>2164*(1+$R$11)</f>
        <v>3678.7999999999997</v>
      </c>
      <c r="H19" s="46">
        <f>4681*(1+$R$11)</f>
        <v>7957.7</v>
      </c>
      <c r="I19" s="46">
        <f>2490*(1+$R$11)</f>
        <v>4233</v>
      </c>
      <c r="J19" s="46">
        <f>1655*(1+$R$11)</f>
        <v>2813.5</v>
      </c>
      <c r="K19" s="46">
        <f>4452*(1+$R$11)</f>
        <v>7568.4</v>
      </c>
      <c r="L19" s="46">
        <f>4273*(1+$R$11)</f>
        <v>7264.0999999999995</v>
      </c>
      <c r="M19" s="46">
        <f>2326*(1+$R$11)</f>
        <v>3954.2</v>
      </c>
      <c r="N19" s="46">
        <f>4806*(1+$R$11)</f>
        <v>8170.2</v>
      </c>
      <c r="O19" s="46">
        <f>3072*(1+$R$11)</f>
        <v>5222.3999999999996</v>
      </c>
    </row>
    <row r="20" spans="3:15">
      <c r="C20" s="32" t="s">
        <v>1326</v>
      </c>
      <c r="D20" s="46">
        <f>4225*(1+$R$11)</f>
        <v>7182.5</v>
      </c>
      <c r="E20" s="46">
        <f>1939*(1+$R$11)</f>
        <v>3296.2999999999997</v>
      </c>
      <c r="F20" s="46">
        <f>3624*(1+$R$11)</f>
        <v>6160.8</v>
      </c>
      <c r="G20" s="46">
        <f>2530*(1+$R$11)</f>
        <v>4301</v>
      </c>
      <c r="H20" s="46">
        <f>4008*(1+$R$11)</f>
        <v>6813.5999999999995</v>
      </c>
      <c r="I20" s="46">
        <f>2416*(1+$R$11)</f>
        <v>4107.2</v>
      </c>
      <c r="J20" s="46">
        <f>2223*(1+$R$11)</f>
        <v>3779.1</v>
      </c>
      <c r="K20" s="46">
        <f>2224*(1+$R$11)</f>
        <v>3780.7999999999997</v>
      </c>
      <c r="L20" s="46">
        <f>2844*(1+$R$11)</f>
        <v>4834.8</v>
      </c>
      <c r="M20" s="46">
        <f>4240*(1+$R$11)</f>
        <v>7208</v>
      </c>
      <c r="N20" s="46">
        <f>3176*(1+$R$11)</f>
        <v>5399.2</v>
      </c>
      <c r="O20" s="46">
        <f>2594*(1+$R$11)</f>
        <v>4409.8</v>
      </c>
    </row>
    <row r="21" spans="3:15">
      <c r="C21" s="32" t="s">
        <v>1327</v>
      </c>
      <c r="D21" s="46">
        <f>4138*(1+$R$11)</f>
        <v>7034.5999999999995</v>
      </c>
      <c r="E21" s="46">
        <f>1573*(1+$R$11)</f>
        <v>2674.1</v>
      </c>
      <c r="F21" s="46">
        <f>3977*(1+$R$11)</f>
        <v>6760.9</v>
      </c>
      <c r="G21" s="46">
        <f>1979*(1+$R$11)</f>
        <v>3364.2999999999997</v>
      </c>
      <c r="H21" s="46">
        <f>1708*(1+$R$11)</f>
        <v>2903.6</v>
      </c>
      <c r="I21" s="46">
        <f>4305*(1+$R$11)</f>
        <v>7318.5</v>
      </c>
      <c r="J21" s="46">
        <f>1986*(1+$R$11)</f>
        <v>3376.2</v>
      </c>
      <c r="K21" s="46">
        <f>2919*(1+$R$11)</f>
        <v>4962.3</v>
      </c>
      <c r="L21" s="46">
        <f>3429*(1+$R$11)</f>
        <v>5829.3</v>
      </c>
      <c r="M21" s="46">
        <f>2567*(1+$R$11)</f>
        <v>4363.8999999999996</v>
      </c>
      <c r="N21" s="46">
        <f>1580*(1+$R$11)</f>
        <v>2686</v>
      </c>
      <c r="O21" s="46">
        <f>2335*(1+$R$11)</f>
        <v>3969.5</v>
      </c>
    </row>
    <row r="22" spans="3:15">
      <c r="C22" s="32" t="s">
        <v>1328</v>
      </c>
      <c r="D22" s="46">
        <f>3489*(1+$R$11)</f>
        <v>5931.3</v>
      </c>
      <c r="E22" s="46">
        <f>4449*(1+$R$11)</f>
        <v>7563.3</v>
      </c>
      <c r="F22" s="46">
        <f>4617*(1+$R$11)</f>
        <v>7848.9</v>
      </c>
      <c r="G22" s="46">
        <f>4441*(1+$R$11)</f>
        <v>7549.7</v>
      </c>
      <c r="H22" s="46">
        <f>4696*(1+$R$11)</f>
        <v>7983.2</v>
      </c>
      <c r="I22" s="46">
        <f>3285*(1+$R$11)</f>
        <v>5584.5</v>
      </c>
      <c r="J22" s="46">
        <f>2958*(1+$R$11)</f>
        <v>5028.5999999999995</v>
      </c>
      <c r="K22" s="46">
        <f>2977*(1+$R$11)</f>
        <v>5060.8999999999996</v>
      </c>
      <c r="L22" s="46">
        <f>1783*(1+$R$11)</f>
        <v>3031.1</v>
      </c>
      <c r="M22" s="46">
        <f>1713*(1+$R$11)</f>
        <v>2912.1</v>
      </c>
      <c r="N22" s="46">
        <f>2587*(1+$R$11)</f>
        <v>4397.8999999999996</v>
      </c>
      <c r="O22" s="46">
        <f>3168*(1+$R$11)</f>
        <v>5385.5999999999995</v>
      </c>
    </row>
    <row r="23" spans="3:15">
      <c r="C23" s="32" t="s">
        <v>1329</v>
      </c>
      <c r="D23" s="46">
        <f>2103*(1+$R$11)</f>
        <v>3575.1</v>
      </c>
      <c r="E23" s="46">
        <f>4682*(1+$R$11)</f>
        <v>7959.4</v>
      </c>
      <c r="F23" s="46">
        <f>3894*(1+$R$11)</f>
        <v>6619.8</v>
      </c>
      <c r="G23" s="46">
        <f>3169*(1+$R$11)</f>
        <v>5387.3</v>
      </c>
      <c r="H23" s="46">
        <f>2780*(1+$R$11)</f>
        <v>4726</v>
      </c>
      <c r="I23" s="46">
        <f>4460*(1+$R$11)</f>
        <v>7582</v>
      </c>
      <c r="J23" s="46">
        <f>2646*(1+$R$11)</f>
        <v>4498.2</v>
      </c>
      <c r="K23" s="46">
        <f>4506*(1+$R$11)</f>
        <v>7660.2</v>
      </c>
      <c r="L23" s="46">
        <f>1880*(1+$R$11)</f>
        <v>3196</v>
      </c>
      <c r="M23" s="46">
        <f>4159*(1+$R$11)</f>
        <v>7070.3</v>
      </c>
      <c r="N23" s="46">
        <f>2043*(1+$R$11)</f>
        <v>3473.1</v>
      </c>
      <c r="O23" s="46">
        <f>2943*(1+$R$11)</f>
        <v>5003.0999999999995</v>
      </c>
    </row>
    <row r="24" spans="3:15">
      <c r="C24" s="32" t="s">
        <v>1330</v>
      </c>
      <c r="D24" s="46">
        <f>2547*(1+$R$11)</f>
        <v>4329.8999999999996</v>
      </c>
      <c r="E24" s="46">
        <f>4516*(1+$R$11)</f>
        <v>7677.2</v>
      </c>
      <c r="F24" s="46">
        <f>3778*(1+$R$11)</f>
        <v>6422.5999999999995</v>
      </c>
      <c r="G24" s="46">
        <f>3715*(1+$R$11)</f>
        <v>6315.5</v>
      </c>
      <c r="H24" s="46">
        <f>3908*(1+$R$11)</f>
        <v>6643.5999999999995</v>
      </c>
      <c r="I24" s="46">
        <f>4527*(1+$R$11)</f>
        <v>7695.9</v>
      </c>
      <c r="J24" s="46">
        <f>3705*(1+$R$11)</f>
        <v>6298.5</v>
      </c>
      <c r="K24" s="46">
        <f>4355*(1+$R$11)</f>
        <v>7403.5</v>
      </c>
      <c r="L24" s="46">
        <f>4759*(1+$R$11)</f>
        <v>8090.3</v>
      </c>
      <c r="M24" s="46">
        <f>1998*(1+$R$11)</f>
        <v>3396.6</v>
      </c>
      <c r="N24" s="46">
        <f>1841*(1+$R$11)</f>
        <v>3129.7</v>
      </c>
      <c r="O24" s="46">
        <f>1744*(1+$R$11)</f>
        <v>2964.7999999999997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4"/>
  <sheetViews>
    <sheetView workbookViewId="0">
      <selection activeCell="L3" sqref="L3:L6"/>
    </sheetView>
  </sheetViews>
  <sheetFormatPr defaultRowHeight="14.5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L3" s="24" t="s">
        <v>7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L4" t="s">
        <v>12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L5" t="s">
        <v>15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L6" t="s">
        <v>1344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12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12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12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12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12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12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8"/>
  <sheetViews>
    <sheetView workbookViewId="0">
      <selection activeCell="K15" sqref="K15 K17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1" t="s">
        <v>31</v>
      </c>
      <c r="D3" s="41"/>
      <c r="E3" s="41"/>
      <c r="F3" s="40" t="s">
        <v>30</v>
      </c>
      <c r="G3" s="40"/>
      <c r="H3" s="40"/>
      <c r="I3" s="42" t="s">
        <v>1339</v>
      </c>
      <c r="J3" s="42"/>
      <c r="K3" s="42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1342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1342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2" spans="2:11">
      <c r="C12" s="41" t="s">
        <v>31</v>
      </c>
      <c r="D12" s="41"/>
      <c r="E12" s="41"/>
      <c r="F12" s="40" t="s">
        <v>30</v>
      </c>
      <c r="G12" s="40"/>
      <c r="H12" s="40"/>
      <c r="I12" s="42" t="s">
        <v>1339</v>
      </c>
      <c r="J12" s="42"/>
      <c r="K12" s="42"/>
    </row>
    <row r="13" spans="2:11">
      <c r="B13" s="19" t="s">
        <v>24</v>
      </c>
      <c r="C13" s="15">
        <v>2017</v>
      </c>
      <c r="D13" s="15">
        <v>2018</v>
      </c>
      <c r="E13" s="15">
        <v>2019</v>
      </c>
      <c r="F13" s="17">
        <v>2017</v>
      </c>
      <c r="G13" s="17">
        <v>2018</v>
      </c>
      <c r="H13" s="17">
        <v>2019</v>
      </c>
      <c r="I13" s="2">
        <v>2017</v>
      </c>
      <c r="J13" s="2">
        <v>2018</v>
      </c>
      <c r="K13" s="2">
        <v>2019</v>
      </c>
    </row>
    <row r="14" spans="2:11">
      <c r="B14" s="19" t="s">
        <v>25</v>
      </c>
      <c r="C14" s="16">
        <v>47</v>
      </c>
      <c r="D14" s="16">
        <v>67</v>
      </c>
      <c r="E14" s="16">
        <v>33</v>
      </c>
      <c r="F14" s="18">
        <v>375</v>
      </c>
      <c r="G14" s="18">
        <v>234</v>
      </c>
      <c r="H14" s="18">
        <v>567</v>
      </c>
      <c r="I14" s="7">
        <f t="shared" ref="I14:I18" si="1">C14/F14</f>
        <v>0.12533333333333332</v>
      </c>
      <c r="J14" s="7">
        <f t="shared" ref="J14:J18" si="2">D14/G14</f>
        <v>0.28632478632478631</v>
      </c>
      <c r="K14" s="7">
        <f t="shared" ref="K14:K18" si="3">E14/H14</f>
        <v>5.8201058201058198E-2</v>
      </c>
    </row>
    <row r="15" spans="2:11">
      <c r="B15" s="19" t="s">
        <v>26</v>
      </c>
      <c r="C15" s="16">
        <v>65</v>
      </c>
      <c r="D15" s="16">
        <v>34</v>
      </c>
      <c r="E15" s="16">
        <v>42</v>
      </c>
      <c r="F15" s="18">
        <v>456</v>
      </c>
      <c r="G15" s="18">
        <v>546</v>
      </c>
      <c r="H15" s="18"/>
      <c r="I15" s="7">
        <f t="shared" si="1"/>
        <v>0.14254385964912281</v>
      </c>
      <c r="J15" s="7">
        <f t="shared" si="2"/>
        <v>6.2271062271062272E-2</v>
      </c>
      <c r="K15" s="7">
        <v>0</v>
      </c>
    </row>
    <row r="16" spans="2:11">
      <c r="B16" s="19" t="s">
        <v>27</v>
      </c>
      <c r="C16" s="16">
        <v>67</v>
      </c>
      <c r="D16" s="16">
        <v>67</v>
      </c>
      <c r="E16" s="16">
        <v>65</v>
      </c>
      <c r="F16" s="18">
        <v>278</v>
      </c>
      <c r="G16" s="18">
        <v>871</v>
      </c>
      <c r="H16" s="18">
        <v>234</v>
      </c>
      <c r="I16" s="7">
        <f t="shared" si="1"/>
        <v>0.24100719424460432</v>
      </c>
      <c r="J16" s="7">
        <f t="shared" si="2"/>
        <v>7.6923076923076927E-2</v>
      </c>
      <c r="K16" s="7">
        <f t="shared" si="3"/>
        <v>0.27777777777777779</v>
      </c>
    </row>
    <row r="17" spans="2:11">
      <c r="B17" s="19" t="s">
        <v>28</v>
      </c>
      <c r="C17" s="16">
        <v>34</v>
      </c>
      <c r="D17" s="16">
        <v>54</v>
      </c>
      <c r="E17" s="16">
        <v>49</v>
      </c>
      <c r="F17" s="18">
        <v>547</v>
      </c>
      <c r="G17" s="18">
        <v>236</v>
      </c>
      <c r="H17" s="18"/>
      <c r="I17" s="7">
        <f t="shared" si="1"/>
        <v>6.2157221206581355E-2</v>
      </c>
      <c r="J17" s="7">
        <f t="shared" si="2"/>
        <v>0.2288135593220339</v>
      </c>
      <c r="K17" s="7">
        <v>0</v>
      </c>
    </row>
    <row r="18" spans="2:11">
      <c r="B18" s="19" t="s">
        <v>29</v>
      </c>
      <c r="C18" s="16">
        <v>21</v>
      </c>
      <c r="D18" s="16">
        <v>68</v>
      </c>
      <c r="E18" s="16">
        <v>30</v>
      </c>
      <c r="F18" s="18">
        <v>876</v>
      </c>
      <c r="G18" s="18">
        <v>545</v>
      </c>
      <c r="H18" s="18">
        <v>233</v>
      </c>
      <c r="I18" s="7">
        <f t="shared" si="1"/>
        <v>2.3972602739726026E-2</v>
      </c>
      <c r="J18" s="7">
        <f t="shared" si="2"/>
        <v>0.12477064220183487</v>
      </c>
      <c r="K18" s="7">
        <f t="shared" si="3"/>
        <v>0.12875536480686695</v>
      </c>
    </row>
  </sheetData>
  <mergeCells count="6">
    <mergeCell ref="F3:H3"/>
    <mergeCell ref="C3:E3"/>
    <mergeCell ref="I3:K3"/>
    <mergeCell ref="C12:E12"/>
    <mergeCell ref="F12:H12"/>
    <mergeCell ref="I12:K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5"/>
  <sheetViews>
    <sheetView topLeftCell="A10" zoomScale="140" zoomScaleNormal="140" workbookViewId="0">
      <selection activeCell="D19" sqref="D19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1345</v>
      </c>
      <c r="G4" t="s">
        <v>1346</v>
      </c>
      <c r="H4" t="s">
        <v>1347</v>
      </c>
    </row>
    <row r="5" spans="2:8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1348</v>
      </c>
      <c r="G5" t="s">
        <v>1349</v>
      </c>
      <c r="H5" t="s">
        <v>1350</v>
      </c>
    </row>
    <row r="6" spans="2:8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1351</v>
      </c>
      <c r="G6" t="s">
        <v>1352</v>
      </c>
      <c r="H6" t="s">
        <v>1353</v>
      </c>
    </row>
    <row r="7" spans="2:8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1354</v>
      </c>
      <c r="G7" t="s">
        <v>1355</v>
      </c>
      <c r="H7" t="s">
        <v>1356</v>
      </c>
    </row>
    <row r="11" spans="2:8">
      <c r="B11" s="2" t="s">
        <v>32</v>
      </c>
      <c r="C11" s="2" t="s">
        <v>33</v>
      </c>
      <c r="D11" s="2" t="s">
        <v>34</v>
      </c>
      <c r="E11" s="2" t="s">
        <v>35</v>
      </c>
    </row>
    <row r="12" spans="2:8">
      <c r="B12" s="1" t="s">
        <v>1357</v>
      </c>
      <c r="C12" s="1" t="str">
        <f>LOWER(TRIM(B12))</f>
        <v>arun mukherjee</v>
      </c>
      <c r="D12" s="1" t="str">
        <f>UPPER(TRIM(B12))</f>
        <v>ARUN MUKHERJEE</v>
      </c>
      <c r="E12" s="1" t="str">
        <f>PROPER(TRIM(B12))</f>
        <v>Arun Mukherjee</v>
      </c>
    </row>
    <row r="13" spans="2:8">
      <c r="B13" s="1" t="s">
        <v>1358</v>
      </c>
      <c r="C13" s="1" t="str">
        <f t="shared" ref="C13:C15" si="3">LOWER(TRIM(B13))</f>
        <v>barun dutta</v>
      </c>
      <c r="D13" s="1" t="str">
        <f t="shared" ref="D13:D15" si="4">UPPER(TRIM(B13))</f>
        <v>BARUN DUTTA</v>
      </c>
      <c r="E13" s="1" t="str">
        <f t="shared" ref="E13:E15" si="5">PROPER(TRIM(B13))</f>
        <v>Barun Dutta</v>
      </c>
    </row>
    <row r="14" spans="2:8">
      <c r="B14" s="1" t="s">
        <v>1359</v>
      </c>
      <c r="C14" s="1" t="str">
        <f t="shared" si="3"/>
        <v>avi sanyal</v>
      </c>
      <c r="D14" s="1" t="str">
        <f t="shared" si="4"/>
        <v>AVI SANYAL</v>
      </c>
      <c r="E14" s="1" t="str">
        <f t="shared" si="5"/>
        <v>Avi Sanyal</v>
      </c>
    </row>
    <row r="15" spans="2:8">
      <c r="B15" s="1" t="s">
        <v>1360</v>
      </c>
      <c r="C15" s="1" t="str">
        <f t="shared" si="3"/>
        <v>tathagata sen</v>
      </c>
      <c r="D15" s="1" t="str">
        <f t="shared" si="4"/>
        <v>TATHAGATA SEN</v>
      </c>
      <c r="E15" s="1" t="str">
        <f t="shared" si="5"/>
        <v>Tathagata Sen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9"/>
  <sheetViews>
    <sheetView zoomScale="160" zoomScaleNormal="160" workbookViewId="0">
      <selection activeCell="B10" sqref="B10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1361</v>
      </c>
      <c r="D4" s="5" t="s">
        <v>1362</v>
      </c>
      <c r="E4" s="5" t="s">
        <v>1325</v>
      </c>
    </row>
    <row r="5" spans="2:5">
      <c r="B5" s="1" t="s">
        <v>45</v>
      </c>
      <c r="C5" s="5" t="s">
        <v>1363</v>
      </c>
      <c r="D5" s="5" t="s">
        <v>1364</v>
      </c>
      <c r="E5" s="5" t="s">
        <v>1365</v>
      </c>
    </row>
    <row r="6" spans="2:5">
      <c r="B6" s="1" t="s">
        <v>46</v>
      </c>
      <c r="C6" s="5" t="s">
        <v>1366</v>
      </c>
      <c r="D6" s="5" t="s">
        <v>1367</v>
      </c>
      <c r="E6" s="5" t="s">
        <v>1368</v>
      </c>
    </row>
    <row r="7" spans="2:5">
      <c r="B7" s="1" t="s">
        <v>47</v>
      </c>
      <c r="C7" s="5" t="s">
        <v>1369</v>
      </c>
      <c r="D7" s="5" t="s">
        <v>1370</v>
      </c>
      <c r="E7" s="5" t="s">
        <v>1324</v>
      </c>
    </row>
    <row r="9" spans="2:5">
      <c r="B9" t="s">
        <v>1371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70" zoomScaleNormal="170" workbookViewId="0">
      <selection activeCell="F6" sqref="F6"/>
    </sheetView>
  </sheetViews>
  <sheetFormatPr defaultRowHeight="14.5"/>
  <cols>
    <col min="2" max="2" width="22.2695312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L15"/>
  <sheetViews>
    <sheetView workbookViewId="0">
      <selection activeCell="L8" sqref="L8"/>
    </sheetView>
  </sheetViews>
  <sheetFormatPr defaultRowHeight="14.5"/>
  <sheetData>
    <row r="3" spans="2:12">
      <c r="B3" s="4"/>
      <c r="C3" s="4"/>
      <c r="D3" s="4"/>
      <c r="E3" s="4"/>
      <c r="F3" s="4"/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2:12">
      <c r="B4" s="1"/>
      <c r="C4" s="1"/>
      <c r="D4" s="1"/>
      <c r="E4" s="1"/>
      <c r="F4" s="1"/>
      <c r="H4" t="s">
        <v>11</v>
      </c>
      <c r="I4" t="s">
        <v>12</v>
      </c>
      <c r="J4">
        <v>55</v>
      </c>
      <c r="K4">
        <v>65</v>
      </c>
      <c r="L4">
        <v>44</v>
      </c>
    </row>
    <row r="5" spans="2:12">
      <c r="B5" s="8"/>
      <c r="C5" s="8"/>
      <c r="D5" s="12"/>
      <c r="E5" s="8"/>
      <c r="F5" s="8"/>
      <c r="H5" t="s">
        <v>13</v>
      </c>
      <c r="I5" t="s">
        <v>12</v>
      </c>
      <c r="J5">
        <v>56</v>
      </c>
      <c r="K5">
        <v>76</v>
      </c>
      <c r="L5">
        <v>98</v>
      </c>
    </row>
    <row r="6" spans="2:12">
      <c r="B6" s="1"/>
      <c r="C6" s="1"/>
      <c r="D6" s="1"/>
      <c r="E6" s="1"/>
      <c r="F6" s="1"/>
      <c r="H6" t="s">
        <v>14</v>
      </c>
      <c r="I6" t="s">
        <v>15</v>
      </c>
      <c r="J6">
        <v>75</v>
      </c>
      <c r="K6">
        <v>56</v>
      </c>
      <c r="L6">
        <v>45</v>
      </c>
    </row>
    <row r="7" spans="2:12">
      <c r="B7" s="1"/>
      <c r="C7" s="1"/>
      <c r="D7" s="1"/>
      <c r="E7" s="1"/>
      <c r="F7" s="1"/>
      <c r="H7" t="s">
        <v>16</v>
      </c>
      <c r="I7" t="s">
        <v>15</v>
      </c>
      <c r="J7">
        <v>82</v>
      </c>
      <c r="K7">
        <v>34</v>
      </c>
      <c r="L7">
        <v>23</v>
      </c>
    </row>
    <row r="8" spans="2:12">
      <c r="B8" s="1"/>
      <c r="C8" s="1"/>
      <c r="D8" s="9"/>
      <c r="E8" s="9"/>
      <c r="F8" s="9"/>
      <c r="H8" t="s">
        <v>17</v>
      </c>
      <c r="I8" t="s">
        <v>12</v>
      </c>
      <c r="J8">
        <v>36</v>
      </c>
      <c r="K8">
        <v>26</v>
      </c>
      <c r="L8">
        <v>65</v>
      </c>
    </row>
    <row r="9" spans="2:12">
      <c r="B9" s="1"/>
      <c r="C9" s="1"/>
      <c r="D9" s="1"/>
      <c r="E9" s="1"/>
      <c r="F9" s="1"/>
      <c r="H9" t="s">
        <v>18</v>
      </c>
      <c r="I9" t="s">
        <v>15</v>
      </c>
      <c r="J9">
        <v>78</v>
      </c>
      <c r="K9">
        <v>78</v>
      </c>
      <c r="L9">
        <v>76</v>
      </c>
    </row>
    <row r="10" spans="2:12">
      <c r="B10" s="10"/>
      <c r="C10" s="10"/>
      <c r="D10" s="10"/>
      <c r="E10" s="1"/>
      <c r="F10" s="1"/>
      <c r="H10" t="s">
        <v>19</v>
      </c>
      <c r="I10" t="s">
        <v>15</v>
      </c>
      <c r="J10">
        <v>16</v>
      </c>
      <c r="K10">
        <v>36</v>
      </c>
      <c r="L10">
        <v>56</v>
      </c>
    </row>
    <row r="11" spans="2:12">
      <c r="B11" s="1"/>
      <c r="C11" s="1"/>
      <c r="D11" s="1"/>
      <c r="E11" s="1"/>
      <c r="F11" s="1"/>
      <c r="H11" t="s">
        <v>20</v>
      </c>
      <c r="I11" t="s">
        <v>12</v>
      </c>
      <c r="J11">
        <v>45</v>
      </c>
      <c r="K11">
        <v>87</v>
      </c>
      <c r="L11">
        <v>78</v>
      </c>
    </row>
    <row r="12" spans="2:12">
      <c r="B12" s="1"/>
      <c r="C12" s="1"/>
      <c r="D12" s="11"/>
      <c r="E12" s="11"/>
      <c r="F12" s="11"/>
      <c r="H12" t="s">
        <v>21</v>
      </c>
      <c r="I12" t="s">
        <v>12</v>
      </c>
      <c r="J12">
        <v>67</v>
      </c>
      <c r="K12">
        <v>99</v>
      </c>
      <c r="L12">
        <v>54</v>
      </c>
    </row>
    <row r="13" spans="2:12">
      <c r="B13" s="1"/>
      <c r="C13" s="1"/>
      <c r="D13" s="11"/>
      <c r="E13" s="11"/>
      <c r="F13" s="11"/>
      <c r="H13" t="s">
        <v>22</v>
      </c>
      <c r="I13" t="s">
        <v>12</v>
      </c>
      <c r="J13">
        <v>98</v>
      </c>
      <c r="K13">
        <v>87</v>
      </c>
      <c r="L13">
        <v>56</v>
      </c>
    </row>
    <row r="14" spans="2:12">
      <c r="B14" s="1"/>
      <c r="C14" s="1"/>
      <c r="D14" s="11"/>
      <c r="E14" s="11"/>
      <c r="F14" s="11"/>
      <c r="H14" t="s">
        <v>18</v>
      </c>
      <c r="I14" t="s">
        <v>15</v>
      </c>
      <c r="J14">
        <v>99</v>
      </c>
      <c r="K14">
        <v>42</v>
      </c>
      <c r="L14">
        <v>55</v>
      </c>
    </row>
    <row r="15" spans="2:12">
      <c r="B15" s="1"/>
      <c r="C15" s="1"/>
      <c r="D15" s="1"/>
      <c r="E15" s="1"/>
      <c r="F15" s="1"/>
      <c r="H15" t="s">
        <v>13</v>
      </c>
      <c r="I15" t="s">
        <v>12</v>
      </c>
      <c r="J15">
        <v>56</v>
      </c>
      <c r="K15">
        <v>76</v>
      </c>
      <c r="L15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2023-01-23T17:32:19Z</dcterms:modified>
</cp:coreProperties>
</file>