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ub Balloons" sheetId="1" r:id="rId3"/>
    <sheet state="hidden" name="Sub-day Nominations" sheetId="2" r:id="rId4"/>
    <sheet state="visible" name="Games Played" sheetId="3" r:id="rId5"/>
    <sheet state="hidden" name="Tips - Thank you! ♥♥♡" sheetId="4" r:id="rId6"/>
  </sheets>
  <definedNames>
    <definedName hidden="1" localSheetId="0" name="_xlnm._FilterDatabase">'Sub Balloons'!$A$1:$G$28</definedName>
    <definedName hidden="1" localSheetId="1" name="_xlnm._FilterDatabase">'Sub-day Nominations'!$A$1:$D$20</definedName>
    <definedName hidden="1" localSheetId="2" name="_xlnm._FilterDatabase">'Games Played'!$A$1:$D$552</definedName>
    <definedName hidden="1" localSheetId="3" name="_xlnm._FilterDatabase">'Tips - Thank you! ♥♥♡'!$A$1:$D$1112</definedName>
  </definedNames>
  <calcPr/>
</workbook>
</file>

<file path=xl/sharedStrings.xml><?xml version="1.0" encoding="utf-8"?>
<sst xmlns="http://schemas.openxmlformats.org/spreadsheetml/2006/main" count="1722" uniqueCount="797">
  <si>
    <t>Date</t>
  </si>
  <si>
    <t>Sub Name</t>
  </si>
  <si>
    <t>Request</t>
  </si>
  <si>
    <t>Balloon Colour</t>
  </si>
  <si>
    <t>Reference URL</t>
  </si>
  <si>
    <t>Made On</t>
  </si>
  <si>
    <t>Tweet</t>
  </si>
  <si>
    <t>Rantingisalwaysfun</t>
  </si>
  <si>
    <t>Assassin's Creed Ezio</t>
  </si>
  <si>
    <t>Beige or white</t>
  </si>
  <si>
    <t>Shesnotlvl18bro</t>
  </si>
  <si>
    <t>Death the Kid</t>
  </si>
  <si>
    <t>your choice</t>
  </si>
  <si>
    <t>Snowlit</t>
  </si>
  <si>
    <t>Jaina from Heroes of the Storm (only head and shoulders)</t>
  </si>
  <si>
    <t>White</t>
  </si>
  <si>
    <t>YourlilNeko</t>
  </si>
  <si>
    <t>cat with antlers</t>
  </si>
  <si>
    <t>Pink</t>
  </si>
  <si>
    <t>re-requested on new form</t>
  </si>
  <si>
    <t>Ballinous</t>
  </si>
  <si>
    <t>Solid Snake from MGS</t>
  </si>
  <si>
    <t>Killjoy83</t>
  </si>
  <si>
    <t>Alice</t>
  </si>
  <si>
    <t>Red</t>
  </si>
  <si>
    <t>Bluhail</t>
  </si>
  <si>
    <t>Elsa crossover</t>
  </si>
  <si>
    <t>Fictionaldeity</t>
  </si>
  <si>
    <t>Just his name with the TWITCH logo above it</t>
  </si>
  <si>
    <t>Purple</t>
  </si>
  <si>
    <t>Yuki_Boss</t>
  </si>
  <si>
    <t>Ritsu from K-on</t>
  </si>
  <si>
    <t>Canopaint</t>
  </si>
  <si>
    <t>Viking</t>
  </si>
  <si>
    <t>UGRGaming</t>
  </si>
  <si>
    <t>Pikachu kawaii</t>
  </si>
  <si>
    <t>BijouSquishy</t>
  </si>
  <si>
    <t>Doge</t>
  </si>
  <si>
    <t>Alaskanpipeline007</t>
  </si>
  <si>
    <t>Goku</t>
  </si>
  <si>
    <t>Yellow</t>
  </si>
  <si>
    <t>Beautiful_Nern</t>
  </si>
  <si>
    <t>Nern from Lisa</t>
  </si>
  <si>
    <t>Simonnitro</t>
  </si>
  <si>
    <t>Luffy from OnePiece</t>
  </si>
  <si>
    <t>Any</t>
  </si>
  <si>
    <t>Spynx15</t>
  </si>
  <si>
    <t>Moomba from Final Fantasy</t>
  </si>
  <si>
    <t>lifetimespecial</t>
  </si>
  <si>
    <t>homura akemi</t>
  </si>
  <si>
    <t>thehaleybaby</t>
  </si>
  <si>
    <t>chipmunk</t>
  </si>
  <si>
    <t>MKPatar</t>
  </si>
  <si>
    <t>Eileen the Crow</t>
  </si>
  <si>
    <t>NevrAsk</t>
  </si>
  <si>
    <t>Haunter</t>
  </si>
  <si>
    <t>Ramzzal</t>
  </si>
  <si>
    <t>Rock Lee</t>
  </si>
  <si>
    <t>TheYasmein</t>
  </si>
  <si>
    <t>Chibi cat version of TheYasmein</t>
  </si>
  <si>
    <t>Green</t>
  </si>
  <si>
    <t>Done</t>
  </si>
  <si>
    <t>DarthMauler18</t>
  </si>
  <si>
    <t>Demo Man from TF2</t>
  </si>
  <si>
    <t>Danitidaniel</t>
  </si>
  <si>
    <t>anime xxholic</t>
  </si>
  <si>
    <t>Wolf_Star</t>
  </si>
  <si>
    <t>TinTin</t>
  </si>
  <si>
    <t xml:space="preserve">Pegasus_Syndrome </t>
  </si>
  <si>
    <t>Pegasus but with red hair and black roots</t>
  </si>
  <si>
    <t>crisukomie</t>
  </si>
  <si>
    <t>Yama + Cris</t>
  </si>
  <si>
    <t>wowdane</t>
  </si>
  <si>
    <t>Whatever Clara Wants</t>
  </si>
  <si>
    <t>blackdahlia1147</t>
  </si>
  <si>
    <t>Dungeon Defenders</t>
  </si>
  <si>
    <t>rendarin</t>
  </si>
  <si>
    <t>The Binding of Isaac: Rebirth</t>
  </si>
  <si>
    <t>jumpy_monkey2</t>
  </si>
  <si>
    <t>Super Panda Adventures</t>
  </si>
  <si>
    <t>Ackackadack</t>
  </si>
  <si>
    <t>Suikoden</t>
  </si>
  <si>
    <t>Stroggynugget</t>
  </si>
  <si>
    <t>Deluvina</t>
  </si>
  <si>
    <t>Gone Home</t>
  </si>
  <si>
    <t>striderboi</t>
  </si>
  <si>
    <t>Mario Kart 8</t>
  </si>
  <si>
    <t>NinjaHart</t>
  </si>
  <si>
    <t>Cards Against Humanity</t>
  </si>
  <si>
    <t>SirWedgie</t>
  </si>
  <si>
    <t>Zelda: Windwaker HD</t>
  </si>
  <si>
    <t>MasterCrowther</t>
  </si>
  <si>
    <t>Flipnoe</t>
  </si>
  <si>
    <t>Megaman Legends</t>
  </si>
  <si>
    <t>systemchalk</t>
  </si>
  <si>
    <t>Antichamber</t>
  </si>
  <si>
    <t>chumley123</t>
  </si>
  <si>
    <t>Dust: An Elysian Tail</t>
  </si>
  <si>
    <t>Super Meat Boy</t>
  </si>
  <si>
    <t>YourLilNeko</t>
  </si>
  <si>
    <t xml:space="preserve">Farming Simulator </t>
  </si>
  <si>
    <t>Terraria</t>
  </si>
  <si>
    <t>BroForce</t>
  </si>
  <si>
    <t>Journey (PS3)</t>
  </si>
  <si>
    <t>iaregodzirra</t>
  </si>
  <si>
    <t>Alice: Madness Returns (DOESN'T RUN :( )</t>
  </si>
  <si>
    <t>sipeone</t>
  </si>
  <si>
    <t>Magicka (FINISHED)</t>
  </si>
  <si>
    <t>spoonman54321</t>
  </si>
  <si>
    <t>Mirror's Edge (FINISHED)</t>
  </si>
  <si>
    <t>Lestalya</t>
  </si>
  <si>
    <t>Yhip</t>
  </si>
  <si>
    <t>JessyQuil</t>
  </si>
  <si>
    <t>Bayonetta 2 (FINISHED)</t>
  </si>
  <si>
    <t>Slipfighter</t>
  </si>
  <si>
    <t>Valiant Hearts (FINISHED)</t>
  </si>
  <si>
    <t>Pegasus_Syndrome</t>
  </si>
  <si>
    <t>quiplash</t>
  </si>
  <si>
    <r>
      <rPr>
        <b/>
      </rPr>
      <t xml:space="preserve">Game </t>
    </r>
    <r>
      <t>(contains affiliate links)</t>
    </r>
  </si>
  <si>
    <t>Released (full release)</t>
  </si>
  <si>
    <t>Platform Played</t>
  </si>
  <si>
    <t>Thoughts</t>
  </si>
  <si>
    <t>Done/Not Playing</t>
  </si>
  <si>
    <t>PC</t>
  </si>
  <si>
    <t>https://twitter.com/seriouslyclara/status/1017303276943896576</t>
  </si>
  <si>
    <t>https://twitter.com/seriouslyclara/status/1076379909562413057</t>
  </si>
  <si>
    <t>Y</t>
  </si>
  <si>
    <t>https://twitter.com/seriouslyclara/status/714739002218311680</t>
  </si>
  <si>
    <t>https://twitter.com/seriouslyclara/status/810043447533039616</t>
  </si>
  <si>
    <t>https://twitter.com/seriouslyclara/status/962593220696752128</t>
  </si>
  <si>
    <t>https://twitter.com/seriouslyclara/status/916580994806726656</t>
  </si>
  <si>
    <t>https://twitter.com/seriouslyclara/status/811383882280882176</t>
  </si>
  <si>
    <t>https://twitter.com/seriouslyclara/status/968402504168820736</t>
  </si>
  <si>
    <t>https://twitter.com/seriouslyclara/status/1062251783857172481</t>
  </si>
  <si>
    <t>https://twitter.com/seriouslyclara/status/831788046236409856</t>
  </si>
  <si>
    <t>https://twitter.com/seriouslyclara/status/863572295599538176</t>
  </si>
  <si>
    <t>https://twitter.com/seriouslyclara/status/906700247660822529</t>
  </si>
  <si>
    <t>https://twitter.com/seriouslyclara/status/1038317641121710080</t>
  </si>
  <si>
    <t>https://twitter.com/seriouslyclara/status/769450400105639936</t>
  </si>
  <si>
    <t>https://twitter.com/seriouslyclara/status/1026715182377066496</t>
  </si>
  <si>
    <t>https://twitter.com/seriouslyclara/status/969125914737917952</t>
  </si>
  <si>
    <t>https://twitter.com/seriouslyclara/status/951366845902110720</t>
  </si>
  <si>
    <t>Wii U</t>
  </si>
  <si>
    <t>https://twitter.com/seriouslyclara/status/819630382823804928</t>
  </si>
  <si>
    <t>https://twitter.com/seriouslyclara/status/1095956187663613953</t>
  </si>
  <si>
    <t>https://twitter.com/seriouslyclara/status/1079280354630877184</t>
  </si>
  <si>
    <t>Bad Rats</t>
  </si>
  <si>
    <t>Banko-Kazooie</t>
  </si>
  <si>
    <t>N64</t>
  </si>
  <si>
    <t>https://twitter.com/seriouslyclara/status/923084591866380288</t>
  </si>
  <si>
    <t>https://twitter.com/seriouslyclara/status/933615193715703808</t>
  </si>
  <si>
    <t>Bayonetta 2</t>
  </si>
  <si>
    <t>Beautiful Katamari</t>
  </si>
  <si>
    <t>Xbox 360</t>
  </si>
  <si>
    <t>https://twitter.com/seriouslyclara/status/1074939483529797632</t>
  </si>
  <si>
    <t>https://twitter.com/seriouslyclara/status/670170710099169280</t>
  </si>
  <si>
    <t>BioShock</t>
  </si>
  <si>
    <t>BioShock Infinite + DLC</t>
  </si>
  <si>
    <t>Black Gold</t>
  </si>
  <si>
    <t>Black Rose</t>
  </si>
  <si>
    <t>https://twitter.com/seriouslyclara/status/865342089738899456</t>
  </si>
  <si>
    <t>https://twitter.com/seriouslyclara/status/949579825315917824</t>
  </si>
  <si>
    <t>https://twitter.com/seriouslyclara/status/1074221252590485504</t>
  </si>
  <si>
    <t>https://twitter.com/seriouslyclara/status/1039771947771428864</t>
  </si>
  <si>
    <t>https://twitter.com/seriouslyclara/status/1019467438511964160</t>
  </si>
  <si>
    <t>https://twitter.com/seriouslyclara/status/1018380293504299008</t>
  </si>
  <si>
    <t>https://twitter.com/seriouslyclara/status/797204479485480960</t>
  </si>
  <si>
    <t>https://twitter.com/seriouslyclara/status/786443745218531328</t>
  </si>
  <si>
    <t>https://twitter.com/seriouslyclara/status/793339566891466752</t>
  </si>
  <si>
    <t>https://twitter.com/seriouslyclara/status/886115344959496192</t>
  </si>
  <si>
    <t>Castlevania: Symphony of the Night</t>
  </si>
  <si>
    <t>PS1</t>
  </si>
  <si>
    <t>https://twitter.com/seriouslyclara/status/897359935993819136</t>
  </si>
  <si>
    <t>https://twitter.com/seriouslyclara/status/958615659650297856</t>
  </si>
  <si>
    <t>https://twitter.com/seriouslyclara/status/1025660457556664320</t>
  </si>
  <si>
    <t>Chrono Trigger</t>
  </si>
  <si>
    <t>SNES</t>
  </si>
  <si>
    <t>https://twitter.com/seriouslyclara/status/975244776873185280</t>
  </si>
  <si>
    <t>https://twitter.com/seriouslyclara/status/1058996079042060288</t>
  </si>
  <si>
    <t>https://twitter.com/seriouslyclara/status/778517359120093185</t>
  </si>
  <si>
    <t>https://twitter.com/seriouslyclara/status/991201419922325504</t>
  </si>
  <si>
    <t>https://twitter.com/seriouslyclara/status/836855125415165952</t>
  </si>
  <si>
    <t>https://twitter.com/seriouslyclara/status/833985656812605440</t>
  </si>
  <si>
    <t>https://twitter.com/seriouslyclara/status/939390013845921793</t>
  </si>
  <si>
    <t>https://twitter.com/seriouslyclara/status/854242369251581952</t>
  </si>
  <si>
    <t>https://twitter.com/seriouslyclara/status/808957926958198784</t>
  </si>
  <si>
    <t>https://twitter.com/seriouslyclara/status/973455873593942017</t>
  </si>
  <si>
    <t>https://twitter.com/seriouslyclara/status/966223024251813888</t>
  </si>
  <si>
    <t>Crystalis</t>
  </si>
  <si>
    <t>NES</t>
  </si>
  <si>
    <t>https://twitter.com/seriouslyclara/status/1003191935647879168</t>
  </si>
  <si>
    <t>https://twitter.com/seriouslyclara/status/809638688208494592</t>
  </si>
  <si>
    <t>https://twitter.com/seriouslyclara/status/865341684317528064</t>
  </si>
  <si>
    <t>https://twitter.com/seriouslyclara/status/1053929122299138048</t>
  </si>
  <si>
    <t>https://twitter.com/seriouslyclara/status/1033626396227076096</t>
  </si>
  <si>
    <t>https://twitter.com/seriouslyclara/status/759294310848356352</t>
  </si>
  <si>
    <t>https://twitter.com/seriouslyclara/status/1034322362735386625</t>
  </si>
  <si>
    <t>https://twitter.com/seriouslyclara/status/1028541732567146496</t>
  </si>
  <si>
    <t>https://twitter.com/seriouslyclara/status/963318646335422464</t>
  </si>
  <si>
    <t>https://twitter.com/seriouslyclara/status/1016931347489644545</t>
  </si>
  <si>
    <t>https://twitter.com/seriouslyclara/status/797207470695297024</t>
  </si>
  <si>
    <t>https://twitter.com/seriouslyclara/status/823805436201574400</t>
  </si>
  <si>
    <t>https://twitter.com/seriouslyclara/status/788269408707751936</t>
  </si>
  <si>
    <t>https://twitter.com/seriouslyclara/status/941229081344991232</t>
  </si>
  <si>
    <t>https://twitter.com/seriouslyclara/status/1034692370330148866</t>
  </si>
  <si>
    <t>DOTA 2</t>
  </si>
  <si>
    <t>https://twitter.com/seriouslyclara/status/888647794600181761</t>
  </si>
  <si>
    <t>https://twitter.com/seriouslyclara/status/814715729215778816</t>
  </si>
  <si>
    <t>https://twitter.com/seriouslyclara/status/986130497653764097</t>
  </si>
  <si>
    <t>https://twitter.com/seriouslyclara/status/824696860732379136</t>
  </si>
  <si>
    <t>https://twitter.com/seriouslyclara/status/819103904126234624</t>
  </si>
  <si>
    <t>https://twitter.com/seriouslyclara/status/975991750224371714</t>
  </si>
  <si>
    <t>https://twitter.com/seriouslyclara/status/951000693061529600</t>
  </si>
  <si>
    <t>Earthbound</t>
  </si>
  <si>
    <t>https://twitter.com/seriouslyclara/status/940490143164612608</t>
  </si>
  <si>
    <t>https://twitter.com/seriouslyclara/status/906700808921636864</t>
  </si>
  <si>
    <t>https://twitter.com/seriouslyclara/status/802436365526843392</t>
  </si>
  <si>
    <t>https://twitter.com/seriouslyclara/status/1081835250018181120</t>
  </si>
  <si>
    <t>Excite Bike</t>
  </si>
  <si>
    <t>https://twitter.com/seriouslyclara/status/1011875063212044288</t>
  </si>
  <si>
    <t>https://twitter.com/seriouslyclara/status/805515553620316161</t>
  </si>
  <si>
    <t>https://twitter.com/seriouslyclara/status/824875623311036417</t>
  </si>
  <si>
    <t>https://twitter.com/seriouslyclara/status/918373911963754496</t>
  </si>
  <si>
    <t>https://twitter.com/seriouslyclara/status/945971281165291520</t>
  </si>
  <si>
    <t>First Wonder</t>
  </si>
  <si>
    <t>https://twitter.com/seriouslyclara/status/936863457202266113</t>
  </si>
  <si>
    <t>https://twitter.com/seriouslyclara/status/987956173126037504</t>
  </si>
  <si>
    <t>https://twitter.com/seriouslyclara/status/865447129703108608</t>
  </si>
  <si>
    <t>https://twitter.com/seriouslyclara/status/1019829399800066048</t>
  </si>
  <si>
    <t>https://twitter.com/seriouslyclara/status/821263719942324225</t>
  </si>
  <si>
    <t>https://twitter.com/seriouslyclara/status/732455128846860288</t>
  </si>
  <si>
    <t>https://twitter.com/seriouslyclara/status/959685769643270144</t>
  </si>
  <si>
    <t>https://twitter.com/seriouslyclara/status/994109946462519296</t>
  </si>
  <si>
    <t>https://twitter.com/seriouslyclara/status/982515369309978624</t>
  </si>
  <si>
    <t>https://twitter.com/seriouslyclara/status/797225665414053888</t>
  </si>
  <si>
    <t>https://twitter.com/seriouslyclara/status/814050581224386560</t>
  </si>
  <si>
    <t>https://twitter.com/seriouslyclara/status/1094136993301159936</t>
  </si>
  <si>
    <t>https://twitter.com/seriouslyclara/status/980339810526089217</t>
  </si>
  <si>
    <t>https://twitter.com/seriouslyclara/status/996280931412467712</t>
  </si>
  <si>
    <t>https://twitter.com/seriouslyclara/status/786798222282895360</t>
  </si>
  <si>
    <t>https://twitter.com/seriouslyclara/status/942296720246841345</t>
  </si>
  <si>
    <t>https://twitter.com/seriouslyclara/status/1032541919652413441</t>
  </si>
  <si>
    <t>https://twitter.com/seriouslyclara/status/797203033088065537</t>
  </si>
  <si>
    <t>https://twitter.com/seriouslyclara/status/1073865647619076097</t>
  </si>
  <si>
    <t>https://twitter.com/seriouslyclara/status/901364496563814401</t>
  </si>
  <si>
    <t>https://twitter.com/seriouslyclara/status/1041946963850088455</t>
  </si>
  <si>
    <t>https://twitter.com/seriouslyclara/status/1044471396762415105</t>
  </si>
  <si>
    <t>Harvest Moon</t>
  </si>
  <si>
    <t>https://twitter.com/seriouslyclara/status/797203682177654784</t>
  </si>
  <si>
    <t>https://twitter.com/seriouslyclara/status/732860245882572800</t>
  </si>
  <si>
    <t>https://twitter.com/seriouslyclara/status/915466041286733824</t>
  </si>
  <si>
    <t>https://twitter.com/seriouslyclara/status/879594786008604672</t>
  </si>
  <si>
    <t>https://twitter.com/seriouslyclara/status/1060436207971196928</t>
  </si>
  <si>
    <t>https://twitter.com/seriouslyclara/status/863572803252928512</t>
  </si>
  <si>
    <t>https://twitter.com/seriouslyclara/status/927069082653827072</t>
  </si>
  <si>
    <t>https://twitter.com/seriouslyclara/status/816559046979264513</t>
  </si>
  <si>
    <t>Hot Lava</t>
  </si>
  <si>
    <t>https://twitter.com/seriouslyclara/status/952099375018262528</t>
  </si>
  <si>
    <t>https://twitter.com/seriouslyclara/status/1016576053899288576</t>
  </si>
  <si>
    <t>https://twitter.com/seriouslyclara/status/944832591978422272</t>
  </si>
  <si>
    <t>https://twitter.com/seriouslyclara/status/943404116243443712</t>
  </si>
  <si>
    <t>Hyrule Warriors</t>
  </si>
  <si>
    <t>https://twitter.com/seriouslyclara/status/967687424007585792</t>
  </si>
  <si>
    <t>https://twitter.com/seriouslyclara/status/880316138713825280</t>
  </si>
  <si>
    <t>https://twitter.com/seriouslyclara/status/956077536584306688</t>
  </si>
  <si>
    <t>https://twitter.com/seriouslyclara/status/807810838375501824</t>
  </si>
  <si>
    <t>https://twitter.com/seriouslyclara/status/991927422793666564</t>
  </si>
  <si>
    <t>https://twitter.com/seriouslyclara/status/969841775274639361</t>
  </si>
  <si>
    <t>https://twitter.com/seriouslyclara/status/1071334045630443526</t>
  </si>
  <si>
    <t>https://twitter.com/seriouslyclara/status/1029247846967463937</t>
  </si>
  <si>
    <t>https://twitter.com/seriouslyclara/status/923456311378944000</t>
  </si>
  <si>
    <t>https://twitter.com/seriouslyclara/status/1059715334779764737</t>
  </si>
  <si>
    <t>https://twitter.com/seriouslyclara/status/736462296491294720</t>
  </si>
  <si>
    <t>https://twitter.com/seriouslyclara/status/1103724495620186112</t>
  </si>
  <si>
    <t>https://twitter.com/seriouslyclara/status/1059333563206627328</t>
  </si>
  <si>
    <t>https://twitter.com/seriouslyclara/status/1077451729803694082</t>
  </si>
  <si>
    <t>https://twitter.com/seriouslyclara/status/1012235294731485185</t>
  </si>
  <si>
    <t>https://twitter.com/seriouslyclara/status/983605195153203201</t>
  </si>
  <si>
    <t>Kirby Super Star</t>
  </si>
  <si>
    <t>https://twitter.com/seriouslyclara/status/781031562615947266</t>
  </si>
  <si>
    <t>https://twitter.com/seriouslyclara/status/935773936469635072</t>
  </si>
  <si>
    <t>https://twitter.com/seriouslyclara/status/797224680906113024</t>
  </si>
  <si>
    <t>Legend of Mana</t>
  </si>
  <si>
    <t>https://twitter.com/seriouslyclara/status/967337703183273984</t>
  </si>
  <si>
    <t>https://twitter.com/seriouslyclara/status/938298490047823872</t>
  </si>
  <si>
    <t>https://twitter.com/seriouslyclara/status/858206969110319104</t>
  </si>
  <si>
    <t>https://twitter.com/seriouslyclara/status/806026113239552000</t>
  </si>
  <si>
    <t>https://twitter.com/seriouslyclara/status/992672689968988160</t>
  </si>
  <si>
    <t>https://twitter.com/seriouslyclara/status/826376866374180864</t>
  </si>
  <si>
    <t>https://twitter.com/seriouslyclara/status/896534192233750528</t>
  </si>
  <si>
    <t>https://twitter.com/seriouslyclara/status/806024809150705664</t>
  </si>
  <si>
    <t>https://twitter.com/seriouslyclara/status/946286020001009664</t>
  </si>
  <si>
    <t>https://twitter.com/seriouslyclara/status/947010810311618560</t>
  </si>
  <si>
    <t>https://twitter.com/seriouslyclara/status/797208351176130561</t>
  </si>
  <si>
    <t>https://twitter.com/seriouslyclara/status/1078934753586233344</t>
  </si>
  <si>
    <t>https://twitter.com/seriouslyclara/status/832884920154353664</t>
  </si>
  <si>
    <t>https://twitter.com/seriouslyclara/status/1013316463568961536</t>
  </si>
  <si>
    <t>https://twitter.com/seriouslyclara/status/943738154002948096</t>
  </si>
  <si>
    <t>Mario Kart: Double Dash!!</t>
  </si>
  <si>
    <t>GameCube</t>
  </si>
  <si>
    <t>Mario Party 10</t>
  </si>
  <si>
    <t>https://twitter.com/seriouslyclara/status/702074461072142336</t>
  </si>
  <si>
    <t>https://twitter.com/seriouslyclara/status/807811221541920768</t>
  </si>
  <si>
    <t>Mega Man</t>
  </si>
  <si>
    <t>Mega Man X</t>
  </si>
  <si>
    <t>https://twitter.com/seriouslyclara/status/1049924250675499008</t>
  </si>
  <si>
    <t>https://twitter.com/seriouslyclara/status/865340650664861697</t>
  </si>
  <si>
    <t>https://twitter.com/seriouslyclara/status/896533603919646720</t>
  </si>
  <si>
    <t>https://twitter.com/seriouslyclara/status/982856564879966208</t>
  </si>
  <si>
    <t>https://twitter.com/seriouslyclara/status/873787696031776768</t>
  </si>
  <si>
    <t>https://twitter.com/seriouslyclara/status/876330981015273472</t>
  </si>
  <si>
    <t>https://twitter.com/seriouslyclara/status/811384256983240704</t>
  </si>
  <si>
    <t>https://twitter.com/seriouslyclara/status/993374592835108864</t>
  </si>
  <si>
    <t>https://twitter.com/seriouslyclara/status/896532896453767168</t>
  </si>
  <si>
    <t>https://twitter.com/seriouslyclara/status/1002095175341031426</t>
  </si>
  <si>
    <t>https://twitter.com/seriouslyclara/status/877436820094468097</t>
  </si>
  <si>
    <t>Mortal Kombat II</t>
  </si>
  <si>
    <t>https://twitter.com/seriouslyclara/status/970939944523857920</t>
  </si>
  <si>
    <t>https://twitter.com/seriouslyclara/status/991546601083555840</t>
  </si>
  <si>
    <t>https://twitter.com/seriouslyclara/status/1044851657161494528</t>
  </si>
  <si>
    <t>https://twitter.com/seriouslyclara/status/1052448005943644161</t>
  </si>
  <si>
    <t>https://twitter.com/seriouslyclara/status/1085449574846652417</t>
  </si>
  <si>
    <t>https://twitter.com/seriouslyclara/status/1082555953868726272</t>
  </si>
  <si>
    <t>https://twitter.com/seriouslyclara/status/955721012913385472</t>
  </si>
  <si>
    <t>https://twitter.com/seriouslyclara/status/825259907351875584</t>
  </si>
  <si>
    <t>https://twitter.com/seriouslyclara/status/1015842480636321792</t>
  </si>
  <si>
    <t>https://twitter.com/seriouslyclara/status/1015858346140708864</t>
  </si>
  <si>
    <t>https://twitter.com/seriouslyclara/status/848079450516340736</t>
  </si>
  <si>
    <t>https://twitter.com/seriouslyclara/status/1008580709869481986</t>
  </si>
  <si>
    <t>https://twitter.com/seriouslyclara/status/863573242589487104</t>
  </si>
  <si>
    <t>https://twitter.com/seriouslyclara/status/949922580282028032</t>
  </si>
  <si>
    <t>https://twitter.com/seriouslyclara/status/1004262920161615872</t>
  </si>
  <si>
    <t>https://twitter.com/seriouslyclara/status/735027014126559232</t>
  </si>
  <si>
    <t>https://twitter.com/seriouslyclara/status/1064778273790410752</t>
  </si>
  <si>
    <t>https://twitter.com/seriouslyclara/status/1067307653146112005</t>
  </si>
  <si>
    <t>https://twitter.com/seriouslyclara/status/793711510123974660</t>
  </si>
  <si>
    <t>Oxygen Not Included</t>
  </si>
  <si>
    <t>https://twitter.com/seriouslyclara/status/797205927975759873</t>
  </si>
  <si>
    <t>https://twitter.com/seriouslyclara/status/750260812489461762</t>
  </si>
  <si>
    <t>https://twitter.com/seriouslyclara/status/1062974167853584384</t>
  </si>
  <si>
    <t>https://twitter.com/seriouslyclara/status/1065139520478208000</t>
  </si>
  <si>
    <t>https://twitter.com/seriouslyclara/status/984325183568662528</t>
  </si>
  <si>
    <t>https://twitter.com/seriouslyclara/status/1089072492038172678</t>
  </si>
  <si>
    <t>https://twitter.com/seriouslyclara/status/1014410467119206400</t>
  </si>
  <si>
    <t>Planet Centauri</t>
  </si>
  <si>
    <t>https://twitter.com/seriouslyclara/status/986489607788244995</t>
  </si>
  <si>
    <t>Pokemon Snap (N64)</t>
  </si>
  <si>
    <t>https://twitter.com/seriouslyclara/status/796259701658787842</t>
  </si>
  <si>
    <t>https://twitter.com/seriouslyclara/status/906701324946874368</t>
  </si>
  <si>
    <t>https://twitter.com/seriouslyclara/status/817640148745625600</t>
  </si>
  <si>
    <t>https://twitter.com/seriouslyclara/status/1040131727916597248</t>
  </si>
  <si>
    <t>https://twitter.com/seriouslyclara/status/947416034562019330</t>
  </si>
  <si>
    <t>https://twitter.com/seriouslyclara/status/1001354995864748032</t>
  </si>
  <si>
    <t>https://twitter.com/seriouslyclara/status/941966523505057792</t>
  </si>
  <si>
    <t>QWOP</t>
  </si>
  <si>
    <t>https://twitter.com/seriouslyclara/status/966592198996209664</t>
  </si>
  <si>
    <t>https://twitter.com/seriouslyclara/status/961152245860651008</t>
  </si>
  <si>
    <t>https://twitter.com/seriouslyclara/status/802720391017807872</t>
  </si>
  <si>
    <t>https://twitter.com/seriouslyclara/status/720881216354791424</t>
  </si>
  <si>
    <t>https://twitter.com/seriouslyclara/status/1076754705869504512</t>
  </si>
  <si>
    <t>https://twitter.com/seriouslyclara/status/818734166523068417</t>
  </si>
  <si>
    <t>https://twitter.com/seriouslyclara/status/821640061125066752</t>
  </si>
  <si>
    <t>https://twitter.com/seriouslyclara/status/797359538647117825</t>
  </si>
  <si>
    <t>https://twitter.com/seriouslyclara/status/1026001513620037632</t>
  </si>
  <si>
    <t>https://twitter.com/seriouslyclara/status/874517931731726336</t>
  </si>
  <si>
    <t>https://twitter.com/seriouslyclara/status/953507392930553857</t>
  </si>
  <si>
    <t>https://twitter.com/seriouslyclara/status/876007274812104706</t>
  </si>
  <si>
    <t>https://twitter.com/seriouslyclara/status/717248132829089792</t>
  </si>
  <si>
    <t>https://twitter.com/seriouslyclara/status/1047017264057372672</t>
  </si>
  <si>
    <t>https://twitter.com/seriouslyclara/status/798468782863720448</t>
  </si>
  <si>
    <t>Secret of Mana</t>
  </si>
  <si>
    <t>Secrets of Grindea</t>
  </si>
  <si>
    <t>https://twitter.com/seriouslyclara/status/1020553084836098053</t>
  </si>
  <si>
    <t>https://twitter.com/seriouslyclara/status/978525391232016384</t>
  </si>
  <si>
    <t>https://twitter.com/seriouslyclara/status/845521309626871808</t>
  </si>
  <si>
    <t>https://twitter.com/seriouslyclara/status/954635458834677760</t>
  </si>
  <si>
    <t>https://twitter.com/seriouslyclara/status/822341967166066689</t>
  </si>
  <si>
    <t>https://twitter.com/seriouslyclara/status/817255914159775746</t>
  </si>
  <si>
    <t>https://twitter.com/seriouslyclara/status/856773151669104640</t>
  </si>
  <si>
    <t>https://twitter.com/seriouslyclara/status/722664273017749504</t>
  </si>
  <si>
    <t>https://twitter.com/seriouslyclara/status/802717874259275776</t>
  </si>
  <si>
    <t>Slain!</t>
  </si>
  <si>
    <t>https://twitter.com/seriouslyclara/status/791886060716298240</t>
  </si>
  <si>
    <t>https://twitter.com/seriouslyclara/status/796971889306411009</t>
  </si>
  <si>
    <t>https://twitter.com/seriouslyclara/status/1054999250797543426</t>
  </si>
  <si>
    <t>Song of Horror</t>
  </si>
  <si>
    <t>https://twitter.com/seriouslyclara/status/822560696722485249</t>
  </si>
  <si>
    <t>https://twitter.com/seriouslyclara/status/694825108817334273</t>
  </si>
  <si>
    <t>https://twitter.com/seriouslyclara/status/971645761686392832</t>
  </si>
  <si>
    <t>https://twitter.com/seriouslyclara/status/1042304444782669824</t>
  </si>
  <si>
    <t>Splatoon</t>
  </si>
  <si>
    <t>https://twitter.com/seriouslyclara/status/999189520053452801</t>
  </si>
  <si>
    <t>https://twitter.com/seriouslyclara/status/802721183493812224</t>
  </si>
  <si>
    <t>https://twitter.com/seriouslyclara/status/981772194605748225</t>
  </si>
  <si>
    <t>https://twitter.com/seriouslyclara/status/873425103798784000</t>
  </si>
  <si>
    <t>https://twitter.com/seriouslyclara/status/878497648902258689</t>
  </si>
  <si>
    <t>https://twitter.com/seriouslyclara/status/1097747215274012673</t>
  </si>
  <si>
    <t>https://twitter.com/seriouslyclara/status/994468228784046080</t>
  </si>
  <si>
    <t>https://twitter.com/seriouslyclara/status/891204573494480897</t>
  </si>
  <si>
    <t>Super Mario 64</t>
  </si>
  <si>
    <t>Super Mario Bros.</t>
  </si>
  <si>
    <t>Super Mario Bros. 3</t>
  </si>
  <si>
    <t>Super Mario Bros. Crossover</t>
  </si>
  <si>
    <t>Super Mario Galaxy</t>
  </si>
  <si>
    <t>Wii</t>
  </si>
  <si>
    <t>Super Mario Kart</t>
  </si>
  <si>
    <t>Super Mario RPG</t>
  </si>
  <si>
    <t>Super Mario World</t>
  </si>
  <si>
    <t>Super Smash Bros. for Wii U</t>
  </si>
  <si>
    <t>https://twitter.com/seriouslyclara/status/1049549289096007680</t>
  </si>
  <si>
    <t>https://twitter.com/seriouslyclara/status/1017660769813401600</t>
  </si>
  <si>
    <t>https://twitter.com/seriouslyclara/status/707501629390462976</t>
  </si>
  <si>
    <t>Tetris</t>
  </si>
  <si>
    <t>https://twitter.com/seriouslyclara/status/1039410066766540800</t>
  </si>
  <si>
    <t>https://twitter.com/seriouslyclara/status/1008267628203335681</t>
  </si>
  <si>
    <t>https://twitter.com/seriouslyclara/status/1008966346208473088</t>
  </si>
  <si>
    <t>https://twitter.com/seriouslyclara/status/1018014479907373058</t>
  </si>
  <si>
    <t>https://twitter.com/seriouslyclara/status/778519350542147584</t>
  </si>
  <si>
    <t>https://twitter.com/seriouslyclara/status/1061532077244313601</t>
  </si>
  <si>
    <t>https://twitter.com/seriouslyclara/status/974912495646158848</t>
  </si>
  <si>
    <t>https://twitter.com/seriouslyclara/status/797207010286542848</t>
  </si>
  <si>
    <t>https://twitter.com/seriouslyclara/status/895157188502536192</t>
  </si>
  <si>
    <t>https://twitter.com/seriouslyclara/status/1078202870271336449</t>
  </si>
  <si>
    <t>https://twitter.com/seriouslyclara/status/770552468732280832</t>
  </si>
  <si>
    <t>https://twitter.com/seriouslyclara/status/909632456973729792</t>
  </si>
  <si>
    <t>https://twitter.com/seriouslyclara/status/817147372908081152</t>
  </si>
  <si>
    <t>https://twitter.com/seriouslyclara/status/828873868848697344</t>
  </si>
  <si>
    <t>https://twitter.com/seriouslyclara/status/1043404201261391872</t>
  </si>
  <si>
    <t>https://twitter.com/seriouslyclara/status/868370622052564992</t>
  </si>
  <si>
    <t>The Legend of Zelda</t>
  </si>
  <si>
    <t>The Legend of Zelda: A Link to the Past</t>
  </si>
  <si>
    <t>The Legend of Zelda: Ocarina of Time</t>
  </si>
  <si>
    <t>https://twitter.com/seriouslyclara/status/816211610427473920</t>
  </si>
  <si>
    <t>https://twitter.com/seriouslyclara/status/1038693996694925312</t>
  </si>
  <si>
    <t>https://twitter.com/seriouslyclara/status/766935208163614720</t>
  </si>
  <si>
    <t>https://twitter.com/seriouslyclara/status/1069872196980367360</t>
  </si>
  <si>
    <t>https://twitter.com/seriouslyclara/status/1000255176211480576</t>
  </si>
  <si>
    <t>https://twitter.com/seriouslyclara/status/811384764305281024</t>
  </si>
  <si>
    <t>https://twitter.com/seriouslyclara/status/1018760494784499715</t>
  </si>
  <si>
    <t>https://twitter.com/seriouslyclara/status/786104244868898817</t>
  </si>
  <si>
    <t>The Sims 3</t>
  </si>
  <si>
    <t>The Sims 4</t>
  </si>
  <si>
    <t>https://twitter.com/seriouslyclara/status/995868297160605696</t>
  </si>
  <si>
    <t>https://twitter.com/seriouslyclara/status/822561536505999360</t>
  </si>
  <si>
    <t>The Walking Dead + DLC</t>
  </si>
  <si>
    <t>The Walking Dead: Season 2</t>
  </si>
  <si>
    <t>https://twitter.com/seriouslyclara/status/850610155393765377</t>
  </si>
  <si>
    <t>https://twitter.com/seriouslyclara/status/877770462612385792</t>
  </si>
  <si>
    <t>https://twitter.com/seriouslyclara/status/963181489549590529</t>
  </si>
  <si>
    <t>https://twitter.com/seriouslyclara/status/797236681262841856</t>
  </si>
  <si>
    <t>https://twitter.com/seriouslyclara/status/1065516678438514688</t>
  </si>
  <si>
    <t>https://twitter.com/seriouslyclara/status/993750069613543424</t>
  </si>
  <si>
    <t>https://twitter.com/seriouslyclara/status/988665174444752896</t>
  </si>
  <si>
    <t>https://twitter.com/seriouslyclara/status/887537933267472386</t>
  </si>
  <si>
    <t>Town of Salem</t>
  </si>
  <si>
    <t>https://twitter.com/seriouslyclara/status/1011496600592510977</t>
  </si>
  <si>
    <t>https://twitter.com/seriouslyclara/status/1003904573956751360</t>
  </si>
  <si>
    <t>https://twitter.com/seriouslyclara/status/952457095453933570</t>
  </si>
  <si>
    <t>https://twitter.com/seriouslyclara/status/1085087102365184000</t>
  </si>
  <si>
    <t>https://twitter.com/seriouslyclara/status/1019119178098200576</t>
  </si>
  <si>
    <t>https://twitter.com/seriouslyclara/status/797237422471819264</t>
  </si>
  <si>
    <t>https://twitter.com/seriouslyclara/status/1070592258288676864</t>
  </si>
  <si>
    <t>https://twitter.com/seriouslyclara/status/1016199230522716160</t>
  </si>
  <si>
    <t>https://twitter.com/seriouslyclara/status/686845760827080704</t>
  </si>
  <si>
    <t>https://twitter.com/seriouslyclara/status/817148481504616448</t>
  </si>
  <si>
    <t>https://twitter.com/seriouslyclara/status/1048829450756874245</t>
  </si>
  <si>
    <t>https://twitter.com/seriouslyclara/status/1095226125880504320</t>
  </si>
  <si>
    <t>https://twitter.com/seriouslyclara/status/896277181650706437</t>
  </si>
  <si>
    <t>https://twitter.com/seriouslyclara/status/860747010583834625</t>
  </si>
  <si>
    <t>https://twitter.com/seriouslyclara/status/712567346020413440</t>
  </si>
  <si>
    <t>https://twitter.com/seriouslyclara/status/733915864508989440</t>
  </si>
  <si>
    <t>WildStar</t>
  </si>
  <si>
    <t>https://twitter.com/seriouslyclara/status/996647691001122817</t>
  </si>
  <si>
    <t>https://twitter.com/seriouslyclara/status/937966718227320832</t>
  </si>
  <si>
    <t>https://twitter.com/seriouslyclara/status/877433325593309184</t>
  </si>
  <si>
    <t>World of Warcraft: Warlords of Draenor</t>
  </si>
  <si>
    <t>https://twitter.com/seriouslyclara/status/978151212724834304</t>
  </si>
  <si>
    <t>https://twitter.com/seriouslyclara/status/1009329172714418177</t>
  </si>
  <si>
    <t>https://twitter.com/seriouslyclara/status/793343291513147393</t>
  </si>
  <si>
    <t>https://twitter.com/seriouslyclara/status/889042729597943808</t>
  </si>
  <si>
    <t>https://twitter.com/seriouslyclara/status/919096583022452736</t>
  </si>
  <si>
    <t>https://twitter.com/seriouslyclara/status/852771201285881857</t>
  </si>
  <si>
    <t>https://twitter.com/seriouslyclara/status/1010434998799720448</t>
  </si>
  <si>
    <t>Generous Panda</t>
  </si>
  <si>
    <t>Thank you!</t>
  </si>
  <si>
    <t>Chumley123</t>
  </si>
  <si>
    <t>kite260</t>
  </si>
  <si>
    <t>agentsfire</t>
  </si>
  <si>
    <t>TraumahawkTV</t>
  </si>
  <si>
    <t>Josheyman</t>
  </si>
  <si>
    <t>AlphaSpec</t>
  </si>
  <si>
    <t>BearCaveGamingTwitch</t>
  </si>
  <si>
    <t>Filipebar</t>
  </si>
  <si>
    <t>Kaerras</t>
  </si>
  <si>
    <t>lazbreath</t>
  </si>
  <si>
    <t>Mr_coconuts</t>
  </si>
  <si>
    <t>secretlyapotato_</t>
  </si>
  <si>
    <t>Spacemuffinz</t>
  </si>
  <si>
    <t>Bijousquishy</t>
  </si>
  <si>
    <t>Anonymous</t>
  </si>
  <si>
    <t>leonkp12</t>
  </si>
  <si>
    <t>Spoon Man</t>
  </si>
  <si>
    <t>X_Bizz_X</t>
  </si>
  <si>
    <t>Cpl_wookie</t>
  </si>
  <si>
    <t>CryTek</t>
  </si>
  <si>
    <t>Dahlia</t>
  </si>
  <si>
    <t>Emzolv</t>
  </si>
  <si>
    <t>ladysensei</t>
  </si>
  <si>
    <t>RichChanLikesTacos</t>
  </si>
  <si>
    <t>Stormwolf</t>
  </si>
  <si>
    <t>Symbolic</t>
  </si>
  <si>
    <t>Brommando15</t>
  </si>
  <si>
    <t>chuencud</t>
  </si>
  <si>
    <t>Cometnine</t>
  </si>
  <si>
    <t>danguy44</t>
  </si>
  <si>
    <t>Dani/Justw2o</t>
  </si>
  <si>
    <t>Dapyschoteddy</t>
  </si>
  <si>
    <t>dathfrow</t>
  </si>
  <si>
    <t>Forgives12</t>
  </si>
  <si>
    <t>Jparker</t>
  </si>
  <si>
    <t>kinerry</t>
  </si>
  <si>
    <t>Kleptomaniacist</t>
  </si>
  <si>
    <t>miiiiiiina</t>
  </si>
  <si>
    <t>obezianka</t>
  </si>
  <si>
    <t>PlatnumHampster</t>
  </si>
  <si>
    <t>Quasarr</t>
  </si>
  <si>
    <t>ramzzal</t>
  </si>
  <si>
    <t>realblankspace</t>
  </si>
  <si>
    <t>skymanloves</t>
  </si>
  <si>
    <t>socomdark</t>
  </si>
  <si>
    <t>StoneColdHitman</t>
  </si>
  <si>
    <t>Striderboi</t>
  </si>
  <si>
    <t>TJRJ</t>
  </si>
  <si>
    <t>Travis_Rhuud</t>
  </si>
  <si>
    <t>Tyler</t>
  </si>
  <si>
    <t>15jmartin</t>
  </si>
  <si>
    <t>4_fingers_deep</t>
  </si>
  <si>
    <t>abercrombiepat</t>
  </si>
  <si>
    <t>Aigeth</t>
  </si>
  <si>
    <t>akaBelushi</t>
  </si>
  <si>
    <t>alaska_907</t>
  </si>
  <si>
    <t>Amazinggt23</t>
  </si>
  <si>
    <t>AnAllyNapkins</t>
  </si>
  <si>
    <t>Anguen</t>
  </si>
  <si>
    <t>Anonymoose</t>
  </si>
  <si>
    <t>Anybox</t>
  </si>
  <si>
    <t>ArcangeloLV</t>
  </si>
  <si>
    <t>Arken</t>
  </si>
  <si>
    <t>Arwooohhh</t>
  </si>
  <si>
    <t>astronomydob</t>
  </si>
  <si>
    <t>AudioMurphy</t>
  </si>
  <si>
    <t>Baine08</t>
  </si>
  <si>
    <t>batman</t>
  </si>
  <si>
    <t>Bearrys</t>
  </si>
  <si>
    <t>Beastn14</t>
  </si>
  <si>
    <t>ben_dover</t>
  </si>
  <si>
    <t>Bengil12</t>
  </si>
  <si>
    <t>bigolefatguy</t>
  </si>
  <si>
    <t>BikeMan</t>
  </si>
  <si>
    <t>bkprimal</t>
  </si>
  <si>
    <t>Blofart</t>
  </si>
  <si>
    <t>Boab</t>
  </si>
  <si>
    <t>BrainsGames</t>
  </si>
  <si>
    <t>BriggsTV</t>
  </si>
  <si>
    <t>buhbuhbam13</t>
  </si>
  <si>
    <t>Caexkepesk</t>
  </si>
  <si>
    <t>camel</t>
  </si>
  <si>
    <t>CaptainYesterday</t>
  </si>
  <si>
    <t>Cardenarcc</t>
  </si>
  <si>
    <t>catjt</t>
  </si>
  <si>
    <t>ceejay7799</t>
  </si>
  <si>
    <t>Chellybean23</t>
  </si>
  <si>
    <t>chibi</t>
  </si>
  <si>
    <t>chickdrummer88</t>
  </si>
  <si>
    <t>Chivalrous_Erik</t>
  </si>
  <si>
    <t>closertogod</t>
  </si>
  <si>
    <t>Clunkyspoon</t>
  </si>
  <si>
    <t>Cottoneye92</t>
  </si>
  <si>
    <t>CritDamageCrazy</t>
  </si>
  <si>
    <t>Cupcakes</t>
  </si>
  <si>
    <t>cuttlefishcapricious</t>
  </si>
  <si>
    <t>D_minilife</t>
  </si>
  <si>
    <t>darthmauler</t>
  </si>
  <si>
    <t>DarthStink</t>
  </si>
  <si>
    <t>Dave0118</t>
  </si>
  <si>
    <t>deepsquid</t>
  </si>
  <si>
    <t>Definez__Cypher</t>
  </si>
  <si>
    <t>DiehardLion27</t>
  </si>
  <si>
    <t>Diver</t>
  </si>
  <si>
    <t>DivineWarlover</t>
  </si>
  <si>
    <t>Dizzy!</t>
  </si>
  <si>
    <t>Donkeydude12</t>
  </si>
  <si>
    <t>donthateme84</t>
  </si>
  <si>
    <t>drdankblunt</t>
  </si>
  <si>
    <t>DS_Hawk</t>
  </si>
  <si>
    <t>Duckyman23</t>
  </si>
  <si>
    <t>dvize1</t>
  </si>
  <si>
    <t>Dzliveontwitch</t>
  </si>
  <si>
    <t>EG_BigTime</t>
  </si>
  <si>
    <t>elemental1234</t>
  </si>
  <si>
    <t>Elensaer</t>
  </si>
  <si>
    <t>Elmaky2</t>
  </si>
  <si>
    <t>emvy1</t>
  </si>
  <si>
    <t>Evipen</t>
  </si>
  <si>
    <t>FakeUniform</t>
  </si>
  <si>
    <t>FalcorRider</t>
  </si>
  <si>
    <t>Falllenang3l07</t>
  </si>
  <si>
    <t>Farmerboyjon</t>
  </si>
  <si>
    <t>Fazzlez</t>
  </si>
  <si>
    <t>fey_plays</t>
  </si>
  <si>
    <t>firebro1</t>
  </si>
  <si>
    <t>Fishstickslol</t>
  </si>
  <si>
    <t>fizzylonechees</t>
  </si>
  <si>
    <t>FloppyQuill</t>
  </si>
  <si>
    <t>Freedom2roam</t>
  </si>
  <si>
    <t>FugaziTactics</t>
  </si>
  <si>
    <t>Funzi93</t>
  </si>
  <si>
    <t>G3ekyGam3r</t>
  </si>
  <si>
    <t>gamerz_tv</t>
  </si>
  <si>
    <t>GamingJester</t>
  </si>
  <si>
    <t>Gamit</t>
  </si>
  <si>
    <t>Ghost_Wolf</t>
  </si>
  <si>
    <t>gigawat</t>
  </si>
  <si>
    <t>GinachanRaid</t>
  </si>
  <si>
    <t>Grimy89098</t>
  </si>
  <si>
    <t>GuenevereS</t>
  </si>
  <si>
    <t>gussymoose1</t>
  </si>
  <si>
    <t>HandleMyDeeps</t>
  </si>
  <si>
    <t>Hank</t>
  </si>
  <si>
    <t>HASHTAG_LetsBreakClara</t>
  </si>
  <si>
    <t>Hayblinken</t>
  </si>
  <si>
    <t>HellionsGhost</t>
  </si>
  <si>
    <t>HemoSenpai</t>
  </si>
  <si>
    <t>HJTenchi</t>
  </si>
  <si>
    <t>HughMang</t>
  </si>
  <si>
    <t>Hytsel</t>
  </si>
  <si>
    <t>I-Hit_My-Wife</t>
  </si>
  <si>
    <t>IamJordan21</t>
  </si>
  <si>
    <t>In6chunx</t>
  </si>
  <si>
    <t>ItsGime</t>
  </si>
  <si>
    <t>itsnon</t>
  </si>
  <si>
    <t>ItzHops</t>
  </si>
  <si>
    <t>ivorytemplar</t>
  </si>
  <si>
    <t>IXI_Psych</t>
  </si>
  <si>
    <t>Jacquette</t>
  </si>
  <si>
    <t>jaluc</t>
  </si>
  <si>
    <t>Jampe90</t>
  </si>
  <si>
    <t>Jarevlood</t>
  </si>
  <si>
    <t>JBAUM</t>
  </si>
  <si>
    <t>Jcooge</t>
  </si>
  <si>
    <t>jeryes</t>
  </si>
  <si>
    <t>Jo_Na_THON</t>
  </si>
  <si>
    <t>Joshiie</t>
  </si>
  <si>
    <t>JulieKonya</t>
  </si>
  <si>
    <t>jyungwoo</t>
  </si>
  <si>
    <t>Kaiju_Rex_11</t>
  </si>
  <si>
    <t>Kenchi</t>
  </si>
  <si>
    <t>Kirrlaos</t>
  </si>
  <si>
    <t>Kitsch</t>
  </si>
  <si>
    <t>Klokworkk</t>
  </si>
  <si>
    <t>Konjektur</t>
  </si>
  <si>
    <t>Koschmar</t>
  </si>
  <si>
    <t>krisc00</t>
  </si>
  <si>
    <t>landar486</t>
  </si>
  <si>
    <t>laughablez333</t>
  </si>
  <si>
    <t>Lionheart1188</t>
  </si>
  <si>
    <t>LittleArsonist</t>
  </si>
  <si>
    <t>LochNessMonster</t>
  </si>
  <si>
    <t>LoseSanity</t>
  </si>
  <si>
    <t>lovevendor</t>
  </si>
  <si>
    <t>LunarGhost</t>
  </si>
  <si>
    <t>Mac1129</t>
  </si>
  <si>
    <t>Madlaugher</t>
  </si>
  <si>
    <t>Mafiagryphon</t>
  </si>
  <si>
    <t>malakai</t>
  </si>
  <si>
    <t>MarkusRex82</t>
  </si>
  <si>
    <t>Martiangames</t>
  </si>
  <si>
    <t>MasonW0lf</t>
  </si>
  <si>
    <t>Mastergara_07</t>
  </si>
  <si>
    <t>maughon909</t>
  </si>
  <si>
    <t>Maxitaxi1</t>
  </si>
  <si>
    <t>maymee99</t>
  </si>
  <si>
    <t>Mdee14</t>
  </si>
  <si>
    <t>meroplankton</t>
  </si>
  <si>
    <t>Mikado</t>
  </si>
  <si>
    <t>Milkncookiesss</t>
  </si>
  <si>
    <t>MiNdWaRp</t>
  </si>
  <si>
    <t>MiSs_SmUrFy</t>
  </si>
  <si>
    <t>Mister_jim74</t>
  </si>
  <si>
    <t>MrBSides</t>
  </si>
  <si>
    <t>Mularky</t>
  </si>
  <si>
    <t>nikotuf</t>
  </si>
  <si>
    <t>NocturnalRice</t>
  </si>
  <si>
    <t>Noobicus</t>
  </si>
  <si>
    <t>noobpownin09</t>
  </si>
  <si>
    <t>norwegianboyeinar94</t>
  </si>
  <si>
    <t>Ohdear</t>
  </si>
  <si>
    <t>okaydrian</t>
  </si>
  <si>
    <t>Ol_Skewl_Englander</t>
  </si>
  <si>
    <t>OriginalDrakkon</t>
  </si>
  <si>
    <t>Orophen</t>
  </si>
  <si>
    <t>ovaler</t>
  </si>
  <si>
    <t>pacho_lol</t>
  </si>
  <si>
    <t>Paladinleeds</t>
  </si>
  <si>
    <t>Pebbles</t>
  </si>
  <si>
    <t>Pelswick</t>
  </si>
  <si>
    <t>PharCry</t>
  </si>
  <si>
    <t>PillarAngel</t>
  </si>
  <si>
    <t>PinoyDDragon</t>
  </si>
  <si>
    <t>pocketlight</t>
  </si>
  <si>
    <t>Poffn</t>
  </si>
  <si>
    <t>Portis1983</t>
  </si>
  <si>
    <t>PotatoChipperino</t>
  </si>
  <si>
    <t>pr0gz</t>
  </si>
  <si>
    <t>PrayforBrains</t>
  </si>
  <si>
    <t>PresidentBarakObama</t>
  </si>
  <si>
    <t>Priding</t>
  </si>
  <si>
    <t>psymon_of_the_hood</t>
  </si>
  <si>
    <t>queenulhu</t>
  </si>
  <si>
    <t>Rammur</t>
  </si>
  <si>
    <t>Rancidious</t>
  </si>
  <si>
    <t>RaptorJeebus</t>
  </si>
  <si>
    <t>RemoHazard</t>
  </si>
  <si>
    <t>RetroFemmes</t>
  </si>
  <si>
    <t>RevenantGaming</t>
  </si>
  <si>
    <t>RobertLive2014</t>
  </si>
  <si>
    <t>Rock_85</t>
  </si>
  <si>
    <t>Ruevar</t>
  </si>
  <si>
    <t>Rydernocturnal</t>
  </si>
  <si>
    <t>s1nkingships</t>
  </si>
  <si>
    <t>saruna29</t>
  </si>
  <si>
    <t>Sean</t>
  </si>
  <si>
    <t>second__nature</t>
  </si>
  <si>
    <t>Selonianth</t>
  </si>
  <si>
    <t>Seymourjr</t>
  </si>
  <si>
    <t>sg_loadedgun</t>
  </si>
  <si>
    <t>ShadowScorpion</t>
  </si>
  <si>
    <t>SHP</t>
  </si>
  <si>
    <t>sir_mPineapple</t>
  </si>
  <si>
    <t>SirFapsAlot</t>
  </si>
  <si>
    <t>smackxr588</t>
  </si>
  <si>
    <t>Some_Hero</t>
  </si>
  <si>
    <t>SottallyTober</t>
  </si>
  <si>
    <t>Spacebar</t>
  </si>
  <si>
    <t>Spooky</t>
  </si>
  <si>
    <t>Squidyyyyyyyyyyyyyy</t>
  </si>
  <si>
    <t>SriveMyDoul</t>
  </si>
  <si>
    <t>Starcrunch</t>
  </si>
  <si>
    <t>Stix</t>
  </si>
  <si>
    <t>StraightOuttaRespawn</t>
  </si>
  <si>
    <t>Stryku1124</t>
  </si>
  <si>
    <t>suddlescurvy</t>
  </si>
  <si>
    <t>Swhalen</t>
  </si>
  <si>
    <t>Swiver</t>
  </si>
  <si>
    <t>Systemchalk</t>
  </si>
  <si>
    <t>Tearzovjoy</t>
  </si>
  <si>
    <t>TehMorag</t>
  </si>
  <si>
    <t>tehnibi</t>
  </si>
  <si>
    <t>TehPeddie</t>
  </si>
  <si>
    <t>Tenshi567</t>
  </si>
  <si>
    <t>the_Lumbearjack</t>
  </si>
  <si>
    <t>thelastdragoon</t>
  </si>
  <si>
    <t>thepotatopilot</t>
  </si>
  <si>
    <t>TheRealSeven</t>
  </si>
  <si>
    <t>TheSleepBringer</t>
  </si>
  <si>
    <t>ThetMrGate</t>
  </si>
  <si>
    <t>TheTopHatViking</t>
  </si>
  <si>
    <t>tina_turner</t>
  </si>
  <si>
    <t>Tinari</t>
  </si>
  <si>
    <t>tinytot</t>
  </si>
  <si>
    <t>Tjaswe</t>
  </si>
  <si>
    <t>tjoqahontaz</t>
  </si>
  <si>
    <t>toasterwoman</t>
  </si>
  <si>
    <t>tobi_lab</t>
  </si>
  <si>
    <t>ToraGin</t>
  </si>
  <si>
    <t>Towelliee</t>
  </si>
  <si>
    <t>Travlyn</t>
  </si>
  <si>
    <t>TThunder</t>
  </si>
  <si>
    <t>txhorns23</t>
  </si>
  <si>
    <t>tyrope</t>
  </si>
  <si>
    <t>Tyrpy</t>
  </si>
  <si>
    <t>umbraloptimatum</t>
  </si>
  <si>
    <t>unknownmotives</t>
  </si>
  <si>
    <t>unprotectedS3X</t>
  </si>
  <si>
    <t>Untide</t>
  </si>
  <si>
    <t>V3GASBABY</t>
  </si>
  <si>
    <t>vampichoc0</t>
  </si>
  <si>
    <t>Varynne</t>
  </si>
  <si>
    <t>Vuhadzu</t>
  </si>
  <si>
    <t>wantdat</t>
  </si>
  <si>
    <t>William_Price</t>
  </si>
  <si>
    <t>wulleybully</t>
  </si>
  <si>
    <t>YourGamesTV</t>
  </si>
  <si>
    <t>Zeckaos</t>
  </si>
  <si>
    <t>ZGUnlimited</t>
  </si>
  <si>
    <t>Zories3</t>
  </si>
  <si>
    <t>Zyn_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</si>
</sst>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09]mmmm\ d\,\ yyyy"/>
  </numFmts>
  <fonts count="27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4A86E8"/>
      <name val="Arial"/>
    </font>
    <font>
      <u/>
      <sz val="10.0"/>
      <color rgb="FF000000"/>
      <name val="Arial"/>
    </font>
    <font>
      <u/>
      <sz val="11.0"/>
      <color rgb="FF0000FF"/>
    </font>
    <font>
      <u/>
      <sz val="10.0"/>
      <color rgb="FF000000"/>
      <name val="Arial"/>
    </font>
    <font>
      <u/>
      <sz val="10.0"/>
      <color rgb="FF0000FF"/>
    </font>
    <font>
      <b/>
      <sz val="9.0"/>
      <color rgb="FF000000"/>
      <name val="Arial"/>
    </font>
    <font>
      <sz val="9.0"/>
      <color rgb="FF000000"/>
      <name val="Arial"/>
    </font>
    <font>
      <sz val="9.0"/>
      <name val="Arial"/>
    </font>
    <font>
      <sz val="11.0"/>
    </font>
    <font>
      <strike/>
      <sz val="9.0"/>
      <color rgb="FF000000"/>
      <name val="Arial"/>
    </font>
    <font>
      <sz val="12.0"/>
      <name val="Roboto"/>
    </font>
    <font>
      <b/>
      <sz val="12.0"/>
      <name val="Roboto"/>
    </font>
    <font>
      <u/>
      <sz val="12.0"/>
      <color rgb="FF0000FF"/>
      <name val="Roboto"/>
    </font>
    <font>
      <u/>
      <sz val="12.0"/>
      <color rgb="FF0000FF"/>
      <name val="Roboto"/>
    </font>
    <font>
      <u/>
      <sz val="9.0"/>
      <color rgb="FF0000FF"/>
      <name val="Arial"/>
    </font>
    <font>
      <u/>
      <sz val="9.0"/>
      <color rgb="FF0000FF"/>
      <name val="Arial"/>
    </font>
    <font>
      <b/>
      <sz val="9.0"/>
      <name val="Arial"/>
    </font>
    <font>
      <sz val="9.0"/>
      <color rgb="FF444444"/>
      <name val="Arial"/>
    </font>
    <font>
      <b/>
      <color rgb="FFC27BA0"/>
    </font>
    <font/>
  </fonts>
  <fills count="7">
    <fill>
      <patternFill patternType="none"/>
    </fill>
    <fill>
      <patternFill patternType="lightGray"/>
    </fill>
    <fill>
      <patternFill patternType="solid">
        <fgColor rgb="FFA2EDFC"/>
        <bgColor rgb="FFA2EDF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0" xfId="0" applyAlignment="1" applyBorder="1" applyFont="1">
      <alignment shrinkToFit="1" wrapText="0"/>
    </xf>
    <xf borderId="1" fillId="2" fontId="1" numFmtId="164" xfId="0" applyAlignment="1" applyBorder="1" applyFont="1" applyNumberFormat="1">
      <alignment shrinkToFit="0" wrapText="0"/>
    </xf>
    <xf borderId="1" fillId="2" fontId="1" numFmtId="0" xfId="0" applyAlignment="1" applyBorder="1" applyFont="1">
      <alignment readingOrder="0" shrinkToFit="1" wrapText="0"/>
    </xf>
    <xf borderId="2" fillId="0" fontId="1" numFmtId="0" xfId="0" applyAlignment="1" applyBorder="1" applyFont="1">
      <alignment shrinkToFit="0" wrapText="0"/>
    </xf>
    <xf borderId="3" fillId="0" fontId="1" numFmtId="0" xfId="0" applyAlignment="1" applyBorder="1" applyFont="1">
      <alignment shrinkToFit="0" wrapText="0"/>
    </xf>
    <xf borderId="1" fillId="0" fontId="2" numFmtId="164" xfId="0" applyAlignment="1" applyBorder="1" applyFont="1" applyNumberFormat="1">
      <alignment shrinkToFit="0" wrapText="0"/>
    </xf>
    <xf borderId="1" fillId="0" fontId="2" numFmtId="0" xfId="0" applyAlignment="1" applyBorder="1" applyFont="1">
      <alignment shrinkToFit="0" wrapText="0"/>
    </xf>
    <xf borderId="1" fillId="0" fontId="3" numFmtId="0" xfId="0" applyAlignment="1" applyBorder="1" applyFont="1">
      <alignment shrinkToFit="1" wrapText="0"/>
    </xf>
    <xf borderId="1" fillId="0" fontId="2" numFmtId="0" xfId="0" applyAlignment="1" applyBorder="1" applyFont="1">
      <alignment shrinkToFit="1" wrapText="0"/>
    </xf>
    <xf borderId="0" fillId="0" fontId="4" numFmtId="0" xfId="0" applyFont="1"/>
    <xf borderId="1" fillId="0" fontId="2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 shrinkToFit="1" wrapText="0"/>
    </xf>
    <xf borderId="1" fillId="0" fontId="2" numFmtId="0" xfId="0" applyAlignment="1" applyBorder="1" applyFont="1">
      <alignment readingOrder="0" shrinkToFit="1" wrapText="0"/>
    </xf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 shrinkToFit="0" wrapText="0"/>
    </xf>
    <xf borderId="1" fillId="0" fontId="8" numFmtId="0" xfId="0" applyAlignment="1" applyBorder="1" applyFont="1">
      <alignment readingOrder="0" shrinkToFit="1" wrapText="0"/>
    </xf>
    <xf borderId="1" fillId="0" fontId="4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 shrinkToFit="0" wrapText="0"/>
    </xf>
    <xf borderId="4" fillId="0" fontId="2" numFmtId="0" xfId="0" applyAlignment="1" applyBorder="1" applyFont="1">
      <alignment readingOrder="0" shrinkToFit="0" wrapText="0"/>
    </xf>
    <xf borderId="0" fillId="0" fontId="9" numFmtId="0" xfId="0" applyAlignment="1" applyFont="1">
      <alignment readingOrder="0"/>
    </xf>
    <xf borderId="4" fillId="0" fontId="2" numFmtId="164" xfId="0" applyAlignment="1" applyBorder="1" applyFont="1" applyNumberFormat="1">
      <alignment shrinkToFit="0" wrapText="0"/>
    </xf>
    <xf borderId="4" fillId="0" fontId="2" numFmtId="0" xfId="0" applyAlignment="1" applyBorder="1" applyFont="1">
      <alignment shrinkToFit="1" wrapText="0"/>
    </xf>
    <xf borderId="5" fillId="0" fontId="2" numFmtId="164" xfId="0" applyAlignment="1" applyBorder="1" applyFont="1" applyNumberFormat="1">
      <alignment readingOrder="0" shrinkToFit="0" wrapText="0"/>
    </xf>
    <xf borderId="5" fillId="0" fontId="2" numFmtId="0" xfId="0" applyAlignment="1" applyBorder="1" applyFont="1">
      <alignment readingOrder="0" shrinkToFit="0" wrapText="0"/>
    </xf>
    <xf borderId="5" fillId="0" fontId="10" numFmtId="0" xfId="0" applyAlignment="1" applyBorder="1" applyFont="1">
      <alignment readingOrder="0" shrinkToFit="1" wrapText="0"/>
    </xf>
    <xf borderId="5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shrinkToFit="1" wrapText="0"/>
    </xf>
    <xf borderId="0" fillId="0" fontId="11" numFmtId="0" xfId="0" applyAlignment="1" applyFont="1">
      <alignment readingOrder="0"/>
    </xf>
    <xf borderId="5" fillId="0" fontId="2" numFmtId="164" xfId="0" applyAlignment="1" applyBorder="1" applyFont="1" applyNumberFormat="1">
      <alignment shrinkToFit="0" wrapText="0"/>
    </xf>
    <xf borderId="5" fillId="0" fontId="2" numFmtId="0" xfId="0" applyAlignment="1" applyBorder="1" applyFont="1">
      <alignment readingOrder="0" shrinkToFit="1" wrapText="0"/>
    </xf>
    <xf borderId="5" fillId="3" fontId="12" numFmtId="164" xfId="0" applyAlignment="1" applyBorder="1" applyFill="1" applyFont="1" applyNumberFormat="1">
      <alignment shrinkToFit="0" wrapText="0"/>
    </xf>
    <xf borderId="5" fillId="3" fontId="12" numFmtId="0" xfId="0" applyAlignment="1" applyBorder="1" applyFont="1">
      <alignment shrinkToFit="0" wrapText="0"/>
    </xf>
    <xf borderId="5" fillId="3" fontId="12" numFmtId="0" xfId="0" applyAlignment="1" applyBorder="1" applyFont="1">
      <alignment shrinkToFit="1" wrapText="0"/>
    </xf>
    <xf borderId="0" fillId="0" fontId="12" numFmtId="0" xfId="0" applyAlignment="1" applyFont="1">
      <alignment shrinkToFit="0" wrapText="0"/>
    </xf>
    <xf borderId="5" fillId="0" fontId="13" numFmtId="164" xfId="0" applyAlignment="1" applyBorder="1" applyFont="1" applyNumberFormat="1">
      <alignment shrinkToFit="0" wrapText="0"/>
    </xf>
    <xf borderId="5" fillId="0" fontId="13" numFmtId="0" xfId="0" applyAlignment="1" applyBorder="1" applyFont="1">
      <alignment shrinkToFit="0" wrapText="0"/>
    </xf>
    <xf borderId="5" fillId="0" fontId="13" numFmtId="0" xfId="0" applyAlignment="1" applyBorder="1" applyFont="1">
      <alignment shrinkToFit="1" wrapText="0"/>
    </xf>
    <xf borderId="0" fillId="0" fontId="14" numFmtId="0" xfId="0" applyAlignment="1" applyFont="1">
      <alignment readingOrder="0"/>
    </xf>
    <xf borderId="0" fillId="0" fontId="14" numFmtId="0" xfId="0" applyFont="1"/>
    <xf borderId="5" fillId="0" fontId="13" numFmtId="0" xfId="0" applyAlignment="1" applyBorder="1" applyFont="1">
      <alignment readingOrder="0" shrinkToFit="0" wrapText="0"/>
    </xf>
    <xf borderId="5" fillId="0" fontId="13" numFmtId="164" xfId="0" applyAlignment="1" applyBorder="1" applyFont="1" applyNumberFormat="1">
      <alignment readingOrder="0" shrinkToFit="0" wrapText="0"/>
    </xf>
    <xf borderId="0" fillId="0" fontId="13" numFmtId="0" xfId="0" applyAlignment="1" applyFont="1">
      <alignment readingOrder="0"/>
    </xf>
    <xf borderId="0" fillId="4" fontId="15" numFmtId="0" xfId="0" applyAlignment="1" applyFill="1" applyFont="1">
      <alignment horizontal="left" readingOrder="0"/>
    </xf>
    <xf borderId="5" fillId="0" fontId="16" numFmtId="0" xfId="0" applyAlignment="1" applyBorder="1" applyFont="1">
      <alignment readingOrder="0" shrinkToFit="0" wrapText="0"/>
    </xf>
    <xf borderId="0" fillId="5" fontId="17" numFmtId="0" xfId="0" applyAlignment="1" applyFill="1" applyFont="1">
      <alignment readingOrder="0" vertical="center"/>
    </xf>
    <xf borderId="0" fillId="5" fontId="18" numFmtId="0" xfId="0" applyAlignment="1" applyFont="1">
      <alignment horizontal="left" readingOrder="0" vertical="center"/>
    </xf>
    <xf borderId="0" fillId="5" fontId="18" numFmtId="0" xfId="0" applyAlignment="1" applyFont="1">
      <alignment readingOrder="0" vertical="center"/>
    </xf>
    <xf borderId="0" fillId="0" fontId="18" numFmtId="0" xfId="0" applyFont="1"/>
    <xf borderId="0" fillId="0" fontId="19" numFmtId="0" xfId="0" applyAlignment="1" applyFont="1">
      <alignment readingOrder="0" vertical="center"/>
    </xf>
    <xf borderId="0" fillId="0" fontId="17" numFmtId="0" xfId="0" applyAlignment="1" applyFont="1">
      <alignment horizontal="center" readingOrder="0" vertical="center"/>
    </xf>
    <xf borderId="0" fillId="0" fontId="20" numFmtId="0" xfId="0" applyAlignment="1" applyFont="1">
      <alignment readingOrder="0" vertical="center"/>
    </xf>
    <xf borderId="0" fillId="0" fontId="17" numFmtId="0" xfId="0" applyAlignment="1" applyFont="1">
      <alignment readingOrder="0" vertical="center"/>
    </xf>
    <xf borderId="0" fillId="0" fontId="17" numFmtId="0" xfId="0" applyFont="1"/>
    <xf borderId="0" fillId="0" fontId="17" numFmtId="0" xfId="0" applyAlignment="1" applyFont="1">
      <alignment vertical="center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horizontal="center" vertical="center"/>
    </xf>
    <xf borderId="0" fillId="6" fontId="14" numFmtId="0" xfId="0" applyFill="1" applyFont="1"/>
    <xf borderId="0" fillId="6" fontId="21" numFmtId="0" xfId="0" applyAlignment="1" applyFont="1">
      <alignment horizontal="center" readingOrder="0"/>
    </xf>
    <xf borderId="0" fillId="6" fontId="22" numFmtId="0" xfId="0" applyAlignment="1" applyFont="1">
      <alignment horizontal="center"/>
    </xf>
    <xf borderId="0" fillId="0" fontId="23" numFmtId="0" xfId="0" applyFont="1"/>
    <xf borderId="0" fillId="0" fontId="24" numFmtId="0" xfId="0" applyAlignment="1" applyFont="1">
      <alignment readingOrder="0" vertical="bottom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4" numFmtId="4" xfId="0" applyAlignment="1" applyFont="1" applyNumberFormat="1">
      <alignment readingOrder="0" vertical="bottom"/>
    </xf>
    <xf borderId="0" fillId="0" fontId="25" numFmtId="4" xfId="0" applyAlignment="1" applyFont="1" applyNumberFormat="1">
      <alignment horizontal="center" readingOrder="0"/>
    </xf>
    <xf borderId="0" fillId="0" fontId="26" numFmtId="0" xfId="0" applyAlignment="1" applyFont="1">
      <alignment readingOrder="0"/>
    </xf>
    <xf borderId="0" fillId="0" fontId="25" numFmtId="0" xfId="0" applyAlignment="1" applyFont="1">
      <alignment horizontal="center"/>
    </xf>
  </cellXfs>
  <cellStyles count="1">
    <cellStyle xfId="0" name="Normal" builtinId="0"/>
  </cellStyles>
  <dxfs count="3">
    <dxf>
      <font>
        <b/>
        <color rgb="FF00B050"/>
      </font>
      <fill>
        <patternFill patternType="solid">
          <fgColor rgb="FFD9EAD3"/>
          <bgColor rgb="FFD9EAD3"/>
        </patternFill>
      </fill>
      <border/>
    </dxf>
    <dxf>
      <font>
        <b/>
        <color rgb="FFBF9000"/>
      </font>
      <fill>
        <patternFill patternType="solid">
          <fgColor rgb="FFFFF2CC"/>
          <bgColor rgb="FFFFF2CC"/>
        </patternFill>
      </fill>
      <border/>
    </dxf>
    <dxf>
      <font>
        <b/>
        <color rgb="FF00B0F0"/>
      </font>
      <fill>
        <patternFill patternType="solid">
          <fgColor rgb="FFA2EDFC"/>
          <bgColor rgb="FFA2EDF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seriouslyclara/status/778517359120093185" TargetMode="External"/><Relationship Id="rId190" Type="http://schemas.openxmlformats.org/officeDocument/2006/relationships/hyperlink" Target="https://twitter.com/seriouslyclara/status/906701324946874368" TargetMode="External"/><Relationship Id="rId42" Type="http://schemas.openxmlformats.org/officeDocument/2006/relationships/hyperlink" Target="https://twitter.com/seriouslyclara/status/836855125415165952" TargetMode="External"/><Relationship Id="rId41" Type="http://schemas.openxmlformats.org/officeDocument/2006/relationships/hyperlink" Target="https://twitter.com/seriouslyclara/status/991201419922325504" TargetMode="External"/><Relationship Id="rId44" Type="http://schemas.openxmlformats.org/officeDocument/2006/relationships/hyperlink" Target="https://twitter.com/seriouslyclara/status/939390013845921793" TargetMode="External"/><Relationship Id="rId194" Type="http://schemas.openxmlformats.org/officeDocument/2006/relationships/hyperlink" Target="https://twitter.com/seriouslyclara/status/1001354995864748032" TargetMode="External"/><Relationship Id="rId43" Type="http://schemas.openxmlformats.org/officeDocument/2006/relationships/hyperlink" Target="https://twitter.com/seriouslyclara/status/833985656812605440" TargetMode="External"/><Relationship Id="rId193" Type="http://schemas.openxmlformats.org/officeDocument/2006/relationships/hyperlink" Target="https://twitter.com/seriouslyclara/status/947416034562019330" TargetMode="External"/><Relationship Id="rId46" Type="http://schemas.openxmlformats.org/officeDocument/2006/relationships/hyperlink" Target="https://twitter.com/seriouslyclara/status/808957926958198784" TargetMode="External"/><Relationship Id="rId192" Type="http://schemas.openxmlformats.org/officeDocument/2006/relationships/hyperlink" Target="https://twitter.com/seriouslyclara/status/1040131727916597248" TargetMode="External"/><Relationship Id="rId45" Type="http://schemas.openxmlformats.org/officeDocument/2006/relationships/hyperlink" Target="https://twitter.com/seriouslyclara/status/854242369251581952" TargetMode="External"/><Relationship Id="rId191" Type="http://schemas.openxmlformats.org/officeDocument/2006/relationships/hyperlink" Target="https://twitter.com/seriouslyclara/status/817640148745625600" TargetMode="External"/><Relationship Id="rId48" Type="http://schemas.openxmlformats.org/officeDocument/2006/relationships/hyperlink" Target="https://twitter.com/seriouslyclara/status/966223024251813888" TargetMode="External"/><Relationship Id="rId187" Type="http://schemas.openxmlformats.org/officeDocument/2006/relationships/hyperlink" Target="https://twitter.com/seriouslyclara/status/1014410467119206400" TargetMode="External"/><Relationship Id="rId47" Type="http://schemas.openxmlformats.org/officeDocument/2006/relationships/hyperlink" Target="https://twitter.com/seriouslyclara/status/973455873593942017" TargetMode="External"/><Relationship Id="rId186" Type="http://schemas.openxmlformats.org/officeDocument/2006/relationships/hyperlink" Target="https://twitter.com/seriouslyclara/status/1089072492038172678" TargetMode="External"/><Relationship Id="rId185" Type="http://schemas.openxmlformats.org/officeDocument/2006/relationships/hyperlink" Target="https://twitter.com/seriouslyclara/status/984325183568662528" TargetMode="External"/><Relationship Id="rId49" Type="http://schemas.openxmlformats.org/officeDocument/2006/relationships/hyperlink" Target="https://twitter.com/seriouslyclara/status/1003191935647879168" TargetMode="External"/><Relationship Id="rId184" Type="http://schemas.openxmlformats.org/officeDocument/2006/relationships/hyperlink" Target="https://twitter.com/seriouslyclara/status/1065139520478208000" TargetMode="External"/><Relationship Id="rId189" Type="http://schemas.openxmlformats.org/officeDocument/2006/relationships/hyperlink" Target="https://twitter.com/seriouslyclara/status/796259701658787842" TargetMode="External"/><Relationship Id="rId188" Type="http://schemas.openxmlformats.org/officeDocument/2006/relationships/hyperlink" Target="https://twitter.com/seriouslyclara/status/986489607788244995" TargetMode="External"/><Relationship Id="rId31" Type="http://schemas.openxmlformats.org/officeDocument/2006/relationships/hyperlink" Target="https://twitter.com/seriouslyclara/status/797204479485480960" TargetMode="External"/><Relationship Id="rId30" Type="http://schemas.openxmlformats.org/officeDocument/2006/relationships/hyperlink" Target="https://twitter.com/seriouslyclara/status/1018380293504299008" TargetMode="External"/><Relationship Id="rId33" Type="http://schemas.openxmlformats.org/officeDocument/2006/relationships/hyperlink" Target="https://twitter.com/seriouslyclara/status/793339566891466752" TargetMode="External"/><Relationship Id="rId183" Type="http://schemas.openxmlformats.org/officeDocument/2006/relationships/hyperlink" Target="https://twitter.com/seriouslyclara/status/1062974167853584384" TargetMode="External"/><Relationship Id="rId32" Type="http://schemas.openxmlformats.org/officeDocument/2006/relationships/hyperlink" Target="https://twitter.com/seriouslyclara/status/786443745218531328" TargetMode="External"/><Relationship Id="rId182" Type="http://schemas.openxmlformats.org/officeDocument/2006/relationships/hyperlink" Target="https://twitter.com/seriouslyclara/status/750260812489461762" TargetMode="External"/><Relationship Id="rId35" Type="http://schemas.openxmlformats.org/officeDocument/2006/relationships/hyperlink" Target="https://twitter.com/seriouslyclara/status/897359935993819136" TargetMode="External"/><Relationship Id="rId181" Type="http://schemas.openxmlformats.org/officeDocument/2006/relationships/hyperlink" Target="https://twitter.com/seriouslyclara/status/797205927975759873" TargetMode="External"/><Relationship Id="rId34" Type="http://schemas.openxmlformats.org/officeDocument/2006/relationships/hyperlink" Target="https://twitter.com/seriouslyclara/status/886115344959496192" TargetMode="External"/><Relationship Id="rId180" Type="http://schemas.openxmlformats.org/officeDocument/2006/relationships/hyperlink" Target="https://twitter.com/seriouslyclara/status/793711510123974660" TargetMode="External"/><Relationship Id="rId37" Type="http://schemas.openxmlformats.org/officeDocument/2006/relationships/hyperlink" Target="https://twitter.com/seriouslyclara/status/1025660457556664320" TargetMode="External"/><Relationship Id="rId176" Type="http://schemas.openxmlformats.org/officeDocument/2006/relationships/hyperlink" Target="https://twitter.com/seriouslyclara/status/1004262920161615872" TargetMode="External"/><Relationship Id="rId297" Type="http://schemas.openxmlformats.org/officeDocument/2006/relationships/hyperlink" Target="https://twitter.com/seriouslyclara/status/1010434998799720448" TargetMode="External"/><Relationship Id="rId36" Type="http://schemas.openxmlformats.org/officeDocument/2006/relationships/hyperlink" Target="https://twitter.com/seriouslyclara/status/958615659650297856" TargetMode="External"/><Relationship Id="rId175" Type="http://schemas.openxmlformats.org/officeDocument/2006/relationships/hyperlink" Target="https://twitter.com/seriouslyclara/status/949922580282028032" TargetMode="External"/><Relationship Id="rId296" Type="http://schemas.openxmlformats.org/officeDocument/2006/relationships/hyperlink" Target="https://twitter.com/seriouslyclara/status/852771201285881857" TargetMode="External"/><Relationship Id="rId39" Type="http://schemas.openxmlformats.org/officeDocument/2006/relationships/hyperlink" Target="https://twitter.com/seriouslyclara/status/1058996079042060288" TargetMode="External"/><Relationship Id="rId174" Type="http://schemas.openxmlformats.org/officeDocument/2006/relationships/hyperlink" Target="https://twitter.com/seriouslyclara/status/863573242589487104" TargetMode="External"/><Relationship Id="rId295" Type="http://schemas.openxmlformats.org/officeDocument/2006/relationships/hyperlink" Target="https://twitter.com/seriouslyclara/status/919096583022452736" TargetMode="External"/><Relationship Id="rId38" Type="http://schemas.openxmlformats.org/officeDocument/2006/relationships/hyperlink" Target="https://twitter.com/seriouslyclara/status/975244776873185280" TargetMode="External"/><Relationship Id="rId173" Type="http://schemas.openxmlformats.org/officeDocument/2006/relationships/hyperlink" Target="https://twitter.com/seriouslyclara/status/1008580709869481986" TargetMode="External"/><Relationship Id="rId294" Type="http://schemas.openxmlformats.org/officeDocument/2006/relationships/hyperlink" Target="https://twitter.com/seriouslyclara/status/889042729597943808" TargetMode="External"/><Relationship Id="rId179" Type="http://schemas.openxmlformats.org/officeDocument/2006/relationships/hyperlink" Target="https://twitter.com/seriouslyclara/status/1067307653146112005" TargetMode="External"/><Relationship Id="rId178" Type="http://schemas.openxmlformats.org/officeDocument/2006/relationships/hyperlink" Target="https://twitter.com/seriouslyclara/status/1064778273790410752" TargetMode="External"/><Relationship Id="rId177" Type="http://schemas.openxmlformats.org/officeDocument/2006/relationships/hyperlink" Target="https://twitter.com/seriouslyclara/status/735027014126559232" TargetMode="External"/><Relationship Id="rId298" Type="http://schemas.openxmlformats.org/officeDocument/2006/relationships/drawing" Target="../drawings/drawing3.xml"/><Relationship Id="rId20" Type="http://schemas.openxmlformats.org/officeDocument/2006/relationships/hyperlink" Target="https://twitter.com/seriouslyclara/status/1079280354630877184" TargetMode="External"/><Relationship Id="rId22" Type="http://schemas.openxmlformats.org/officeDocument/2006/relationships/hyperlink" Target="https://twitter.com/seriouslyclara/status/933615193715703808" TargetMode="External"/><Relationship Id="rId21" Type="http://schemas.openxmlformats.org/officeDocument/2006/relationships/hyperlink" Target="https://twitter.com/seriouslyclara/status/923084591866380288" TargetMode="External"/><Relationship Id="rId24" Type="http://schemas.openxmlformats.org/officeDocument/2006/relationships/hyperlink" Target="https://twitter.com/seriouslyclara/status/670170710099169280" TargetMode="External"/><Relationship Id="rId23" Type="http://schemas.openxmlformats.org/officeDocument/2006/relationships/hyperlink" Target="https://twitter.com/seriouslyclara/status/1074939483529797632" TargetMode="External"/><Relationship Id="rId26" Type="http://schemas.openxmlformats.org/officeDocument/2006/relationships/hyperlink" Target="https://twitter.com/seriouslyclara/status/949579825315917824" TargetMode="External"/><Relationship Id="rId25" Type="http://schemas.openxmlformats.org/officeDocument/2006/relationships/hyperlink" Target="https://twitter.com/seriouslyclara/status/865342089738899456" TargetMode="External"/><Relationship Id="rId28" Type="http://schemas.openxmlformats.org/officeDocument/2006/relationships/hyperlink" Target="https://twitter.com/seriouslyclara/status/1039771947771428864" TargetMode="External"/><Relationship Id="rId27" Type="http://schemas.openxmlformats.org/officeDocument/2006/relationships/hyperlink" Target="https://twitter.com/seriouslyclara/status/1074221252590485504" TargetMode="External"/><Relationship Id="rId29" Type="http://schemas.openxmlformats.org/officeDocument/2006/relationships/hyperlink" Target="https://twitter.com/seriouslyclara/status/1019467438511964160" TargetMode="External"/><Relationship Id="rId11" Type="http://schemas.openxmlformats.org/officeDocument/2006/relationships/hyperlink" Target="https://twitter.com/seriouslyclara/status/863572295599538176" TargetMode="External"/><Relationship Id="rId10" Type="http://schemas.openxmlformats.org/officeDocument/2006/relationships/hyperlink" Target="https://twitter.com/seriouslyclara/status/831788046236409856" TargetMode="External"/><Relationship Id="rId13" Type="http://schemas.openxmlformats.org/officeDocument/2006/relationships/hyperlink" Target="https://twitter.com/seriouslyclara/status/1038317641121710080" TargetMode="External"/><Relationship Id="rId12" Type="http://schemas.openxmlformats.org/officeDocument/2006/relationships/hyperlink" Target="https://twitter.com/seriouslyclara/status/906700247660822529" TargetMode="External"/><Relationship Id="rId15" Type="http://schemas.openxmlformats.org/officeDocument/2006/relationships/hyperlink" Target="https://twitter.com/seriouslyclara/status/1026715182377066496" TargetMode="External"/><Relationship Id="rId198" Type="http://schemas.openxmlformats.org/officeDocument/2006/relationships/hyperlink" Target="https://twitter.com/seriouslyclara/status/802720391017807872" TargetMode="External"/><Relationship Id="rId14" Type="http://schemas.openxmlformats.org/officeDocument/2006/relationships/hyperlink" Target="https://twitter.com/seriouslyclara/status/769450400105639936" TargetMode="External"/><Relationship Id="rId197" Type="http://schemas.openxmlformats.org/officeDocument/2006/relationships/hyperlink" Target="https://twitter.com/seriouslyclara/status/961152245860651008" TargetMode="External"/><Relationship Id="rId17" Type="http://schemas.openxmlformats.org/officeDocument/2006/relationships/hyperlink" Target="https://twitter.com/seriouslyclara/status/951366845902110720" TargetMode="External"/><Relationship Id="rId196" Type="http://schemas.openxmlformats.org/officeDocument/2006/relationships/hyperlink" Target="https://twitter.com/seriouslyclara/status/966592198996209664" TargetMode="External"/><Relationship Id="rId16" Type="http://schemas.openxmlformats.org/officeDocument/2006/relationships/hyperlink" Target="https://twitter.com/seriouslyclara/status/969125914737917952" TargetMode="External"/><Relationship Id="rId195" Type="http://schemas.openxmlformats.org/officeDocument/2006/relationships/hyperlink" Target="https://twitter.com/seriouslyclara/status/941966523505057792" TargetMode="External"/><Relationship Id="rId19" Type="http://schemas.openxmlformats.org/officeDocument/2006/relationships/hyperlink" Target="https://twitter.com/seriouslyclara/status/1095956187663613953" TargetMode="External"/><Relationship Id="rId18" Type="http://schemas.openxmlformats.org/officeDocument/2006/relationships/hyperlink" Target="https://twitter.com/seriouslyclara/status/819630382823804928" TargetMode="External"/><Relationship Id="rId199" Type="http://schemas.openxmlformats.org/officeDocument/2006/relationships/hyperlink" Target="https://twitter.com/seriouslyclara/status/720881216354791424" TargetMode="External"/><Relationship Id="rId84" Type="http://schemas.openxmlformats.org/officeDocument/2006/relationships/hyperlink" Target="https://twitter.com/seriouslyclara/status/821263719942324225" TargetMode="External"/><Relationship Id="rId83" Type="http://schemas.openxmlformats.org/officeDocument/2006/relationships/hyperlink" Target="https://twitter.com/seriouslyclara/status/1019829399800066048" TargetMode="External"/><Relationship Id="rId86" Type="http://schemas.openxmlformats.org/officeDocument/2006/relationships/hyperlink" Target="https://twitter.com/seriouslyclara/status/959685769643270144" TargetMode="External"/><Relationship Id="rId85" Type="http://schemas.openxmlformats.org/officeDocument/2006/relationships/hyperlink" Target="https://twitter.com/seriouslyclara/status/732455128846860288" TargetMode="External"/><Relationship Id="rId88" Type="http://schemas.openxmlformats.org/officeDocument/2006/relationships/hyperlink" Target="https://twitter.com/seriouslyclara/status/982515369309978624" TargetMode="External"/><Relationship Id="rId150" Type="http://schemas.openxmlformats.org/officeDocument/2006/relationships/hyperlink" Target="https://twitter.com/seriouslyclara/status/807811221541920768" TargetMode="External"/><Relationship Id="rId271" Type="http://schemas.openxmlformats.org/officeDocument/2006/relationships/hyperlink" Target="https://twitter.com/seriouslyclara/status/887537933267472386" TargetMode="External"/><Relationship Id="rId87" Type="http://schemas.openxmlformats.org/officeDocument/2006/relationships/hyperlink" Target="https://twitter.com/seriouslyclara/status/994109946462519296" TargetMode="External"/><Relationship Id="rId270" Type="http://schemas.openxmlformats.org/officeDocument/2006/relationships/hyperlink" Target="https://twitter.com/seriouslyclara/status/988665174444752896" TargetMode="External"/><Relationship Id="rId89" Type="http://schemas.openxmlformats.org/officeDocument/2006/relationships/hyperlink" Target="https://twitter.com/seriouslyclara/status/797225665414053888" TargetMode="External"/><Relationship Id="rId80" Type="http://schemas.openxmlformats.org/officeDocument/2006/relationships/hyperlink" Target="https://twitter.com/seriouslyclara/status/936863457202266113" TargetMode="External"/><Relationship Id="rId82" Type="http://schemas.openxmlformats.org/officeDocument/2006/relationships/hyperlink" Target="https://twitter.com/seriouslyclara/status/865447129703108608" TargetMode="External"/><Relationship Id="rId81" Type="http://schemas.openxmlformats.org/officeDocument/2006/relationships/hyperlink" Target="https://twitter.com/seriouslyclara/status/987956173126037504" TargetMode="External"/><Relationship Id="rId1" Type="http://schemas.openxmlformats.org/officeDocument/2006/relationships/hyperlink" Target="https://twitter.com/seriouslyclara/status/1017303276943896576" TargetMode="External"/><Relationship Id="rId2" Type="http://schemas.openxmlformats.org/officeDocument/2006/relationships/hyperlink" Target="https://twitter.com/seriouslyclara/status/1076379909562413057" TargetMode="External"/><Relationship Id="rId3" Type="http://schemas.openxmlformats.org/officeDocument/2006/relationships/hyperlink" Target="https://twitter.com/seriouslyclara/status/714739002218311680" TargetMode="External"/><Relationship Id="rId149" Type="http://schemas.openxmlformats.org/officeDocument/2006/relationships/hyperlink" Target="https://twitter.com/seriouslyclara/status/702074461072142336" TargetMode="External"/><Relationship Id="rId4" Type="http://schemas.openxmlformats.org/officeDocument/2006/relationships/hyperlink" Target="https://twitter.com/seriouslyclara/status/810043447533039616" TargetMode="External"/><Relationship Id="rId148" Type="http://schemas.openxmlformats.org/officeDocument/2006/relationships/hyperlink" Target="https://twitter.com/seriouslyclara/status/943738154002948096" TargetMode="External"/><Relationship Id="rId269" Type="http://schemas.openxmlformats.org/officeDocument/2006/relationships/hyperlink" Target="https://twitter.com/seriouslyclara/status/993750069613543424" TargetMode="External"/><Relationship Id="rId9" Type="http://schemas.openxmlformats.org/officeDocument/2006/relationships/hyperlink" Target="https://twitter.com/seriouslyclara/status/1062251783857172481" TargetMode="External"/><Relationship Id="rId143" Type="http://schemas.openxmlformats.org/officeDocument/2006/relationships/hyperlink" Target="https://twitter.com/seriouslyclara/status/947010810311618560" TargetMode="External"/><Relationship Id="rId264" Type="http://schemas.openxmlformats.org/officeDocument/2006/relationships/hyperlink" Target="https://twitter.com/seriouslyclara/status/850610155393765377" TargetMode="External"/><Relationship Id="rId142" Type="http://schemas.openxmlformats.org/officeDocument/2006/relationships/hyperlink" Target="https://twitter.com/seriouslyclara/status/946286020001009664" TargetMode="External"/><Relationship Id="rId263" Type="http://schemas.openxmlformats.org/officeDocument/2006/relationships/hyperlink" Target="https://twitter.com/seriouslyclara/status/822561536505999360" TargetMode="External"/><Relationship Id="rId141" Type="http://schemas.openxmlformats.org/officeDocument/2006/relationships/hyperlink" Target="https://twitter.com/seriouslyclara/status/806024809150705664" TargetMode="External"/><Relationship Id="rId262" Type="http://schemas.openxmlformats.org/officeDocument/2006/relationships/hyperlink" Target="https://twitter.com/seriouslyclara/status/995868297160605696" TargetMode="External"/><Relationship Id="rId140" Type="http://schemas.openxmlformats.org/officeDocument/2006/relationships/hyperlink" Target="https://twitter.com/seriouslyclara/status/896534192233750528" TargetMode="External"/><Relationship Id="rId261" Type="http://schemas.openxmlformats.org/officeDocument/2006/relationships/hyperlink" Target="https://twitter.com/seriouslyclara/status/786104244868898817" TargetMode="External"/><Relationship Id="rId5" Type="http://schemas.openxmlformats.org/officeDocument/2006/relationships/hyperlink" Target="https://twitter.com/seriouslyclara/status/962593220696752128" TargetMode="External"/><Relationship Id="rId147" Type="http://schemas.openxmlformats.org/officeDocument/2006/relationships/hyperlink" Target="https://twitter.com/seriouslyclara/status/1013316463568961536" TargetMode="External"/><Relationship Id="rId268" Type="http://schemas.openxmlformats.org/officeDocument/2006/relationships/hyperlink" Target="https://twitter.com/seriouslyclara/status/1065516678438514688" TargetMode="External"/><Relationship Id="rId6" Type="http://schemas.openxmlformats.org/officeDocument/2006/relationships/hyperlink" Target="https://twitter.com/seriouslyclara/status/916580994806726656" TargetMode="External"/><Relationship Id="rId146" Type="http://schemas.openxmlformats.org/officeDocument/2006/relationships/hyperlink" Target="https://twitter.com/seriouslyclara/status/832884920154353664" TargetMode="External"/><Relationship Id="rId267" Type="http://schemas.openxmlformats.org/officeDocument/2006/relationships/hyperlink" Target="https://twitter.com/seriouslyclara/status/797236681262841856" TargetMode="External"/><Relationship Id="rId7" Type="http://schemas.openxmlformats.org/officeDocument/2006/relationships/hyperlink" Target="https://twitter.com/seriouslyclara/status/811383882280882176" TargetMode="External"/><Relationship Id="rId145" Type="http://schemas.openxmlformats.org/officeDocument/2006/relationships/hyperlink" Target="https://twitter.com/seriouslyclara/status/1078934753586233344" TargetMode="External"/><Relationship Id="rId266" Type="http://schemas.openxmlformats.org/officeDocument/2006/relationships/hyperlink" Target="https://twitter.com/seriouslyclara/status/963181489549590529" TargetMode="External"/><Relationship Id="rId8" Type="http://schemas.openxmlformats.org/officeDocument/2006/relationships/hyperlink" Target="https://twitter.com/seriouslyclara/status/968402504168820736" TargetMode="External"/><Relationship Id="rId144" Type="http://schemas.openxmlformats.org/officeDocument/2006/relationships/hyperlink" Target="https://twitter.com/seriouslyclara/status/797208351176130561" TargetMode="External"/><Relationship Id="rId265" Type="http://schemas.openxmlformats.org/officeDocument/2006/relationships/hyperlink" Target="https://twitter.com/seriouslyclara/status/877770462612385792" TargetMode="External"/><Relationship Id="rId73" Type="http://schemas.openxmlformats.org/officeDocument/2006/relationships/hyperlink" Target="https://twitter.com/seriouslyclara/status/802436365526843392" TargetMode="External"/><Relationship Id="rId72" Type="http://schemas.openxmlformats.org/officeDocument/2006/relationships/hyperlink" Target="https://twitter.com/seriouslyclara/status/906700808921636864" TargetMode="External"/><Relationship Id="rId75" Type="http://schemas.openxmlformats.org/officeDocument/2006/relationships/hyperlink" Target="https://twitter.com/seriouslyclara/status/1011875063212044288" TargetMode="External"/><Relationship Id="rId74" Type="http://schemas.openxmlformats.org/officeDocument/2006/relationships/hyperlink" Target="https://twitter.com/seriouslyclara/status/1081835250018181120" TargetMode="External"/><Relationship Id="rId77" Type="http://schemas.openxmlformats.org/officeDocument/2006/relationships/hyperlink" Target="https://twitter.com/seriouslyclara/status/824875623311036417" TargetMode="External"/><Relationship Id="rId260" Type="http://schemas.openxmlformats.org/officeDocument/2006/relationships/hyperlink" Target="https://twitter.com/seriouslyclara/status/1018760494784499715" TargetMode="External"/><Relationship Id="rId76" Type="http://schemas.openxmlformats.org/officeDocument/2006/relationships/hyperlink" Target="https://twitter.com/seriouslyclara/status/805515553620316161" TargetMode="External"/><Relationship Id="rId79" Type="http://schemas.openxmlformats.org/officeDocument/2006/relationships/hyperlink" Target="https://twitter.com/seriouslyclara/status/945971281165291520" TargetMode="External"/><Relationship Id="rId78" Type="http://schemas.openxmlformats.org/officeDocument/2006/relationships/hyperlink" Target="https://twitter.com/seriouslyclara/status/918373911963754496" TargetMode="External"/><Relationship Id="rId71" Type="http://schemas.openxmlformats.org/officeDocument/2006/relationships/hyperlink" Target="https://twitter.com/seriouslyclara/status/940490143164612608" TargetMode="External"/><Relationship Id="rId70" Type="http://schemas.openxmlformats.org/officeDocument/2006/relationships/hyperlink" Target="https://twitter.com/seriouslyclara/status/951000693061529600" TargetMode="External"/><Relationship Id="rId139" Type="http://schemas.openxmlformats.org/officeDocument/2006/relationships/hyperlink" Target="https://twitter.com/seriouslyclara/status/826376866374180864" TargetMode="External"/><Relationship Id="rId138" Type="http://schemas.openxmlformats.org/officeDocument/2006/relationships/hyperlink" Target="https://twitter.com/seriouslyclara/status/992672689968988160" TargetMode="External"/><Relationship Id="rId259" Type="http://schemas.openxmlformats.org/officeDocument/2006/relationships/hyperlink" Target="https://twitter.com/seriouslyclara/status/811384764305281024" TargetMode="External"/><Relationship Id="rId137" Type="http://schemas.openxmlformats.org/officeDocument/2006/relationships/hyperlink" Target="https://twitter.com/seriouslyclara/status/806026113239552000" TargetMode="External"/><Relationship Id="rId258" Type="http://schemas.openxmlformats.org/officeDocument/2006/relationships/hyperlink" Target="https://twitter.com/seriouslyclara/status/1000255176211480576" TargetMode="External"/><Relationship Id="rId132" Type="http://schemas.openxmlformats.org/officeDocument/2006/relationships/hyperlink" Target="https://twitter.com/seriouslyclara/status/935773936469635072" TargetMode="External"/><Relationship Id="rId253" Type="http://schemas.openxmlformats.org/officeDocument/2006/relationships/hyperlink" Target="https://twitter.com/seriouslyclara/status/868370622052564992" TargetMode="External"/><Relationship Id="rId131" Type="http://schemas.openxmlformats.org/officeDocument/2006/relationships/hyperlink" Target="https://twitter.com/seriouslyclara/status/781031562615947266" TargetMode="External"/><Relationship Id="rId252" Type="http://schemas.openxmlformats.org/officeDocument/2006/relationships/hyperlink" Target="https://twitter.com/seriouslyclara/status/1043404201261391872" TargetMode="External"/><Relationship Id="rId130" Type="http://schemas.openxmlformats.org/officeDocument/2006/relationships/hyperlink" Target="https://twitter.com/seriouslyclara/status/983605195153203201" TargetMode="External"/><Relationship Id="rId251" Type="http://schemas.openxmlformats.org/officeDocument/2006/relationships/hyperlink" Target="https://twitter.com/seriouslyclara/status/828873868848697344" TargetMode="External"/><Relationship Id="rId250" Type="http://schemas.openxmlformats.org/officeDocument/2006/relationships/hyperlink" Target="https://twitter.com/seriouslyclara/status/817147372908081152" TargetMode="External"/><Relationship Id="rId136" Type="http://schemas.openxmlformats.org/officeDocument/2006/relationships/hyperlink" Target="https://twitter.com/seriouslyclara/status/858206969110319104" TargetMode="External"/><Relationship Id="rId257" Type="http://schemas.openxmlformats.org/officeDocument/2006/relationships/hyperlink" Target="https://twitter.com/seriouslyclara/status/1069872196980367360" TargetMode="External"/><Relationship Id="rId135" Type="http://schemas.openxmlformats.org/officeDocument/2006/relationships/hyperlink" Target="https://twitter.com/seriouslyclara/status/938298490047823872" TargetMode="External"/><Relationship Id="rId256" Type="http://schemas.openxmlformats.org/officeDocument/2006/relationships/hyperlink" Target="https://twitter.com/seriouslyclara/status/766935208163614720" TargetMode="External"/><Relationship Id="rId134" Type="http://schemas.openxmlformats.org/officeDocument/2006/relationships/hyperlink" Target="https://twitter.com/seriouslyclara/status/967337703183273984" TargetMode="External"/><Relationship Id="rId255" Type="http://schemas.openxmlformats.org/officeDocument/2006/relationships/hyperlink" Target="https://twitter.com/seriouslyclara/status/1038693996694925312" TargetMode="External"/><Relationship Id="rId133" Type="http://schemas.openxmlformats.org/officeDocument/2006/relationships/hyperlink" Target="https://twitter.com/seriouslyclara/status/797224680906113024" TargetMode="External"/><Relationship Id="rId254" Type="http://schemas.openxmlformats.org/officeDocument/2006/relationships/hyperlink" Target="https://twitter.com/seriouslyclara/status/816211610427473920" TargetMode="External"/><Relationship Id="rId62" Type="http://schemas.openxmlformats.org/officeDocument/2006/relationships/hyperlink" Target="https://twitter.com/seriouslyclara/status/941229081344991232" TargetMode="External"/><Relationship Id="rId61" Type="http://schemas.openxmlformats.org/officeDocument/2006/relationships/hyperlink" Target="https://twitter.com/seriouslyclara/status/788269408707751936" TargetMode="External"/><Relationship Id="rId64" Type="http://schemas.openxmlformats.org/officeDocument/2006/relationships/hyperlink" Target="https://twitter.com/seriouslyclara/status/888647794600181761" TargetMode="External"/><Relationship Id="rId63" Type="http://schemas.openxmlformats.org/officeDocument/2006/relationships/hyperlink" Target="https://twitter.com/seriouslyclara/status/1034692370330148866" TargetMode="External"/><Relationship Id="rId66" Type="http://schemas.openxmlformats.org/officeDocument/2006/relationships/hyperlink" Target="https://twitter.com/seriouslyclara/status/986130497653764097" TargetMode="External"/><Relationship Id="rId172" Type="http://schemas.openxmlformats.org/officeDocument/2006/relationships/hyperlink" Target="https://twitter.com/seriouslyclara/status/848079450516340736" TargetMode="External"/><Relationship Id="rId293" Type="http://schemas.openxmlformats.org/officeDocument/2006/relationships/hyperlink" Target="https://twitter.com/seriouslyclara/status/793343291513147393" TargetMode="External"/><Relationship Id="rId65" Type="http://schemas.openxmlformats.org/officeDocument/2006/relationships/hyperlink" Target="https://twitter.com/seriouslyclara/status/814715729215778816" TargetMode="External"/><Relationship Id="rId171" Type="http://schemas.openxmlformats.org/officeDocument/2006/relationships/hyperlink" Target="https://twitter.com/seriouslyclara/status/1015858346140708864" TargetMode="External"/><Relationship Id="rId292" Type="http://schemas.openxmlformats.org/officeDocument/2006/relationships/hyperlink" Target="https://twitter.com/seriouslyclara/status/1009329172714418177" TargetMode="External"/><Relationship Id="rId68" Type="http://schemas.openxmlformats.org/officeDocument/2006/relationships/hyperlink" Target="https://twitter.com/seriouslyclara/status/819103904126234624" TargetMode="External"/><Relationship Id="rId170" Type="http://schemas.openxmlformats.org/officeDocument/2006/relationships/hyperlink" Target="https://twitter.com/seriouslyclara/status/1015842480636321792" TargetMode="External"/><Relationship Id="rId291" Type="http://schemas.openxmlformats.org/officeDocument/2006/relationships/hyperlink" Target="https://twitter.com/seriouslyclara/status/978151212724834304" TargetMode="External"/><Relationship Id="rId67" Type="http://schemas.openxmlformats.org/officeDocument/2006/relationships/hyperlink" Target="https://twitter.com/seriouslyclara/status/824696860732379136" TargetMode="External"/><Relationship Id="rId290" Type="http://schemas.openxmlformats.org/officeDocument/2006/relationships/hyperlink" Target="https://twitter.com/seriouslyclara/status/877433325593309184" TargetMode="External"/><Relationship Id="rId60" Type="http://schemas.openxmlformats.org/officeDocument/2006/relationships/hyperlink" Target="https://twitter.com/seriouslyclara/status/823805436201574400" TargetMode="External"/><Relationship Id="rId165" Type="http://schemas.openxmlformats.org/officeDocument/2006/relationships/hyperlink" Target="https://twitter.com/seriouslyclara/status/1052448005943644161" TargetMode="External"/><Relationship Id="rId286" Type="http://schemas.openxmlformats.org/officeDocument/2006/relationships/hyperlink" Target="https://twitter.com/seriouslyclara/status/712567346020413440" TargetMode="External"/><Relationship Id="rId69" Type="http://schemas.openxmlformats.org/officeDocument/2006/relationships/hyperlink" Target="https://twitter.com/seriouslyclara/status/975991750224371714" TargetMode="External"/><Relationship Id="rId164" Type="http://schemas.openxmlformats.org/officeDocument/2006/relationships/hyperlink" Target="https://twitter.com/seriouslyclara/status/1044851657161494528" TargetMode="External"/><Relationship Id="rId285" Type="http://schemas.openxmlformats.org/officeDocument/2006/relationships/hyperlink" Target="https://twitter.com/seriouslyclara/status/860747010583834625" TargetMode="External"/><Relationship Id="rId163" Type="http://schemas.openxmlformats.org/officeDocument/2006/relationships/hyperlink" Target="https://twitter.com/seriouslyclara/status/991546601083555840" TargetMode="External"/><Relationship Id="rId284" Type="http://schemas.openxmlformats.org/officeDocument/2006/relationships/hyperlink" Target="https://twitter.com/seriouslyclara/status/896277181650706437" TargetMode="External"/><Relationship Id="rId162" Type="http://schemas.openxmlformats.org/officeDocument/2006/relationships/hyperlink" Target="https://twitter.com/seriouslyclara/status/970939944523857920" TargetMode="External"/><Relationship Id="rId283" Type="http://schemas.openxmlformats.org/officeDocument/2006/relationships/hyperlink" Target="https://twitter.com/seriouslyclara/status/1095226125880504320" TargetMode="External"/><Relationship Id="rId169" Type="http://schemas.openxmlformats.org/officeDocument/2006/relationships/hyperlink" Target="https://twitter.com/seriouslyclara/status/825259907351875584" TargetMode="External"/><Relationship Id="rId168" Type="http://schemas.openxmlformats.org/officeDocument/2006/relationships/hyperlink" Target="https://twitter.com/seriouslyclara/status/955721012913385472" TargetMode="External"/><Relationship Id="rId289" Type="http://schemas.openxmlformats.org/officeDocument/2006/relationships/hyperlink" Target="https://twitter.com/seriouslyclara/status/937966718227320832" TargetMode="External"/><Relationship Id="rId167" Type="http://schemas.openxmlformats.org/officeDocument/2006/relationships/hyperlink" Target="https://twitter.com/seriouslyclara/status/1082555953868726272" TargetMode="External"/><Relationship Id="rId288" Type="http://schemas.openxmlformats.org/officeDocument/2006/relationships/hyperlink" Target="https://twitter.com/seriouslyclara/status/996647691001122817" TargetMode="External"/><Relationship Id="rId166" Type="http://schemas.openxmlformats.org/officeDocument/2006/relationships/hyperlink" Target="https://twitter.com/seriouslyclara/status/1085449574846652417" TargetMode="External"/><Relationship Id="rId287" Type="http://schemas.openxmlformats.org/officeDocument/2006/relationships/hyperlink" Target="https://twitter.com/seriouslyclara/status/733915864508989440" TargetMode="External"/><Relationship Id="rId51" Type="http://schemas.openxmlformats.org/officeDocument/2006/relationships/hyperlink" Target="https://twitter.com/seriouslyclara/status/865341684317528064" TargetMode="External"/><Relationship Id="rId50" Type="http://schemas.openxmlformats.org/officeDocument/2006/relationships/hyperlink" Target="https://twitter.com/seriouslyclara/status/809638688208494592" TargetMode="External"/><Relationship Id="rId53" Type="http://schemas.openxmlformats.org/officeDocument/2006/relationships/hyperlink" Target="https://twitter.com/seriouslyclara/status/1033626396227076096" TargetMode="External"/><Relationship Id="rId52" Type="http://schemas.openxmlformats.org/officeDocument/2006/relationships/hyperlink" Target="https://twitter.com/seriouslyclara/status/1053929122299138048" TargetMode="External"/><Relationship Id="rId55" Type="http://schemas.openxmlformats.org/officeDocument/2006/relationships/hyperlink" Target="https://twitter.com/seriouslyclara/status/1034322362735386625" TargetMode="External"/><Relationship Id="rId161" Type="http://schemas.openxmlformats.org/officeDocument/2006/relationships/hyperlink" Target="https://twitter.com/seriouslyclara/status/877436820094468097" TargetMode="External"/><Relationship Id="rId282" Type="http://schemas.openxmlformats.org/officeDocument/2006/relationships/hyperlink" Target="https://twitter.com/seriouslyclara/status/1048829450756874245" TargetMode="External"/><Relationship Id="rId54" Type="http://schemas.openxmlformats.org/officeDocument/2006/relationships/hyperlink" Target="https://twitter.com/seriouslyclara/status/759294310848356352" TargetMode="External"/><Relationship Id="rId160" Type="http://schemas.openxmlformats.org/officeDocument/2006/relationships/hyperlink" Target="https://twitter.com/seriouslyclara/status/1002095175341031426" TargetMode="External"/><Relationship Id="rId281" Type="http://schemas.openxmlformats.org/officeDocument/2006/relationships/hyperlink" Target="https://twitter.com/seriouslyclara/status/817148481504616448" TargetMode="External"/><Relationship Id="rId57" Type="http://schemas.openxmlformats.org/officeDocument/2006/relationships/hyperlink" Target="https://twitter.com/seriouslyclara/status/963318646335422464" TargetMode="External"/><Relationship Id="rId280" Type="http://schemas.openxmlformats.org/officeDocument/2006/relationships/hyperlink" Target="https://twitter.com/seriouslyclara/status/686845760827080704" TargetMode="External"/><Relationship Id="rId56" Type="http://schemas.openxmlformats.org/officeDocument/2006/relationships/hyperlink" Target="https://twitter.com/seriouslyclara/status/1028541732567146496" TargetMode="External"/><Relationship Id="rId159" Type="http://schemas.openxmlformats.org/officeDocument/2006/relationships/hyperlink" Target="https://twitter.com/seriouslyclara/status/896532896453767168" TargetMode="External"/><Relationship Id="rId59" Type="http://schemas.openxmlformats.org/officeDocument/2006/relationships/hyperlink" Target="https://twitter.com/seriouslyclara/status/797207470695297024" TargetMode="External"/><Relationship Id="rId154" Type="http://schemas.openxmlformats.org/officeDocument/2006/relationships/hyperlink" Target="https://twitter.com/seriouslyclara/status/982856564879966208" TargetMode="External"/><Relationship Id="rId275" Type="http://schemas.openxmlformats.org/officeDocument/2006/relationships/hyperlink" Target="https://twitter.com/seriouslyclara/status/1085087102365184000" TargetMode="External"/><Relationship Id="rId58" Type="http://schemas.openxmlformats.org/officeDocument/2006/relationships/hyperlink" Target="https://twitter.com/seriouslyclara/status/1016931347489644545" TargetMode="External"/><Relationship Id="rId153" Type="http://schemas.openxmlformats.org/officeDocument/2006/relationships/hyperlink" Target="https://twitter.com/seriouslyclara/status/896533603919646720" TargetMode="External"/><Relationship Id="rId274" Type="http://schemas.openxmlformats.org/officeDocument/2006/relationships/hyperlink" Target="https://twitter.com/seriouslyclara/status/952457095453933570" TargetMode="External"/><Relationship Id="rId152" Type="http://schemas.openxmlformats.org/officeDocument/2006/relationships/hyperlink" Target="https://twitter.com/seriouslyclara/status/865340650664861697" TargetMode="External"/><Relationship Id="rId273" Type="http://schemas.openxmlformats.org/officeDocument/2006/relationships/hyperlink" Target="https://twitter.com/seriouslyclara/status/1003904573956751360" TargetMode="External"/><Relationship Id="rId151" Type="http://schemas.openxmlformats.org/officeDocument/2006/relationships/hyperlink" Target="https://twitter.com/seriouslyclara/status/1049924250675499008" TargetMode="External"/><Relationship Id="rId272" Type="http://schemas.openxmlformats.org/officeDocument/2006/relationships/hyperlink" Target="https://twitter.com/seriouslyclara/status/1011496600592510977" TargetMode="External"/><Relationship Id="rId158" Type="http://schemas.openxmlformats.org/officeDocument/2006/relationships/hyperlink" Target="https://twitter.com/seriouslyclara/status/993374592835108864" TargetMode="External"/><Relationship Id="rId279" Type="http://schemas.openxmlformats.org/officeDocument/2006/relationships/hyperlink" Target="https://twitter.com/seriouslyclara/status/1016199230522716160" TargetMode="External"/><Relationship Id="rId157" Type="http://schemas.openxmlformats.org/officeDocument/2006/relationships/hyperlink" Target="https://twitter.com/seriouslyclara/status/811384256983240704" TargetMode="External"/><Relationship Id="rId278" Type="http://schemas.openxmlformats.org/officeDocument/2006/relationships/hyperlink" Target="https://twitter.com/seriouslyclara/status/1070592258288676864" TargetMode="External"/><Relationship Id="rId156" Type="http://schemas.openxmlformats.org/officeDocument/2006/relationships/hyperlink" Target="https://twitter.com/seriouslyclara/status/876330981015273472" TargetMode="External"/><Relationship Id="rId277" Type="http://schemas.openxmlformats.org/officeDocument/2006/relationships/hyperlink" Target="https://twitter.com/seriouslyclara/status/797237422471819264" TargetMode="External"/><Relationship Id="rId155" Type="http://schemas.openxmlformats.org/officeDocument/2006/relationships/hyperlink" Target="https://twitter.com/seriouslyclara/status/873787696031776768" TargetMode="External"/><Relationship Id="rId276" Type="http://schemas.openxmlformats.org/officeDocument/2006/relationships/hyperlink" Target="https://twitter.com/seriouslyclara/status/1019119178098200576" TargetMode="External"/><Relationship Id="rId107" Type="http://schemas.openxmlformats.org/officeDocument/2006/relationships/hyperlink" Target="https://twitter.com/seriouslyclara/status/863572803252928512" TargetMode="External"/><Relationship Id="rId228" Type="http://schemas.openxmlformats.org/officeDocument/2006/relationships/hyperlink" Target="https://twitter.com/seriouslyclara/status/802721183493812224" TargetMode="External"/><Relationship Id="rId106" Type="http://schemas.openxmlformats.org/officeDocument/2006/relationships/hyperlink" Target="https://twitter.com/seriouslyclara/status/1060436207971196928" TargetMode="External"/><Relationship Id="rId227" Type="http://schemas.openxmlformats.org/officeDocument/2006/relationships/hyperlink" Target="https://twitter.com/seriouslyclara/status/999189520053452801" TargetMode="External"/><Relationship Id="rId105" Type="http://schemas.openxmlformats.org/officeDocument/2006/relationships/hyperlink" Target="https://twitter.com/seriouslyclara/status/879594786008604672" TargetMode="External"/><Relationship Id="rId226" Type="http://schemas.openxmlformats.org/officeDocument/2006/relationships/hyperlink" Target="https://twitter.com/seriouslyclara/status/1042304444782669824" TargetMode="External"/><Relationship Id="rId104" Type="http://schemas.openxmlformats.org/officeDocument/2006/relationships/hyperlink" Target="https://twitter.com/seriouslyclara/status/915466041286733824" TargetMode="External"/><Relationship Id="rId225" Type="http://schemas.openxmlformats.org/officeDocument/2006/relationships/hyperlink" Target="https://twitter.com/seriouslyclara/status/971645761686392832" TargetMode="External"/><Relationship Id="rId109" Type="http://schemas.openxmlformats.org/officeDocument/2006/relationships/hyperlink" Target="https://twitter.com/seriouslyclara/status/816559046979264513" TargetMode="External"/><Relationship Id="rId108" Type="http://schemas.openxmlformats.org/officeDocument/2006/relationships/hyperlink" Target="https://twitter.com/seriouslyclara/status/927069082653827072" TargetMode="External"/><Relationship Id="rId229" Type="http://schemas.openxmlformats.org/officeDocument/2006/relationships/hyperlink" Target="https://twitter.com/seriouslyclara/status/981772194605748225" TargetMode="External"/><Relationship Id="rId220" Type="http://schemas.openxmlformats.org/officeDocument/2006/relationships/hyperlink" Target="https://twitter.com/seriouslyclara/status/791886060716298240" TargetMode="External"/><Relationship Id="rId103" Type="http://schemas.openxmlformats.org/officeDocument/2006/relationships/hyperlink" Target="https://twitter.com/seriouslyclara/status/732860245882572800" TargetMode="External"/><Relationship Id="rId224" Type="http://schemas.openxmlformats.org/officeDocument/2006/relationships/hyperlink" Target="https://twitter.com/seriouslyclara/status/694825108817334273" TargetMode="External"/><Relationship Id="rId102" Type="http://schemas.openxmlformats.org/officeDocument/2006/relationships/hyperlink" Target="https://twitter.com/seriouslyclara/status/797203682177654784" TargetMode="External"/><Relationship Id="rId223" Type="http://schemas.openxmlformats.org/officeDocument/2006/relationships/hyperlink" Target="https://twitter.com/seriouslyclara/status/822560696722485249" TargetMode="External"/><Relationship Id="rId101" Type="http://schemas.openxmlformats.org/officeDocument/2006/relationships/hyperlink" Target="https://twitter.com/seriouslyclara/status/1044471396762415105" TargetMode="External"/><Relationship Id="rId222" Type="http://schemas.openxmlformats.org/officeDocument/2006/relationships/hyperlink" Target="https://twitter.com/seriouslyclara/status/1054999250797543426" TargetMode="External"/><Relationship Id="rId100" Type="http://schemas.openxmlformats.org/officeDocument/2006/relationships/hyperlink" Target="https://twitter.com/seriouslyclara/status/1041946963850088455" TargetMode="External"/><Relationship Id="rId221" Type="http://schemas.openxmlformats.org/officeDocument/2006/relationships/hyperlink" Target="https://twitter.com/seriouslyclara/status/796971889306411009" TargetMode="External"/><Relationship Id="rId217" Type="http://schemas.openxmlformats.org/officeDocument/2006/relationships/hyperlink" Target="https://twitter.com/seriouslyclara/status/856773151669104640" TargetMode="External"/><Relationship Id="rId216" Type="http://schemas.openxmlformats.org/officeDocument/2006/relationships/hyperlink" Target="https://twitter.com/seriouslyclara/status/817255914159775746" TargetMode="External"/><Relationship Id="rId215" Type="http://schemas.openxmlformats.org/officeDocument/2006/relationships/hyperlink" Target="https://twitter.com/seriouslyclara/status/822341967166066689" TargetMode="External"/><Relationship Id="rId214" Type="http://schemas.openxmlformats.org/officeDocument/2006/relationships/hyperlink" Target="https://twitter.com/seriouslyclara/status/954635458834677760" TargetMode="External"/><Relationship Id="rId219" Type="http://schemas.openxmlformats.org/officeDocument/2006/relationships/hyperlink" Target="https://twitter.com/seriouslyclara/status/802717874259275776" TargetMode="External"/><Relationship Id="rId218" Type="http://schemas.openxmlformats.org/officeDocument/2006/relationships/hyperlink" Target="https://twitter.com/seriouslyclara/status/722664273017749504" TargetMode="External"/><Relationship Id="rId213" Type="http://schemas.openxmlformats.org/officeDocument/2006/relationships/hyperlink" Target="https://twitter.com/seriouslyclara/status/845521309626871808" TargetMode="External"/><Relationship Id="rId212" Type="http://schemas.openxmlformats.org/officeDocument/2006/relationships/hyperlink" Target="https://twitter.com/seriouslyclara/status/978525391232016384" TargetMode="External"/><Relationship Id="rId211" Type="http://schemas.openxmlformats.org/officeDocument/2006/relationships/hyperlink" Target="https://twitter.com/seriouslyclara/status/1020553084836098053" TargetMode="External"/><Relationship Id="rId210" Type="http://schemas.openxmlformats.org/officeDocument/2006/relationships/hyperlink" Target="https://twitter.com/seriouslyclara/status/798468782863720448" TargetMode="External"/><Relationship Id="rId129" Type="http://schemas.openxmlformats.org/officeDocument/2006/relationships/hyperlink" Target="https://twitter.com/seriouslyclara/status/1012235294731485185" TargetMode="External"/><Relationship Id="rId128" Type="http://schemas.openxmlformats.org/officeDocument/2006/relationships/hyperlink" Target="https://twitter.com/seriouslyclara/status/1012235294731485185" TargetMode="External"/><Relationship Id="rId249" Type="http://schemas.openxmlformats.org/officeDocument/2006/relationships/hyperlink" Target="https://twitter.com/seriouslyclara/status/909632456973729792" TargetMode="External"/><Relationship Id="rId127" Type="http://schemas.openxmlformats.org/officeDocument/2006/relationships/hyperlink" Target="https://twitter.com/seriouslyclara/status/1077451729803694082" TargetMode="External"/><Relationship Id="rId248" Type="http://schemas.openxmlformats.org/officeDocument/2006/relationships/hyperlink" Target="https://twitter.com/seriouslyclara/status/770552468732280832" TargetMode="External"/><Relationship Id="rId126" Type="http://schemas.openxmlformats.org/officeDocument/2006/relationships/hyperlink" Target="https://twitter.com/seriouslyclara/status/1059333563206627328" TargetMode="External"/><Relationship Id="rId247" Type="http://schemas.openxmlformats.org/officeDocument/2006/relationships/hyperlink" Target="https://twitter.com/seriouslyclara/status/1078202870271336449" TargetMode="External"/><Relationship Id="rId121" Type="http://schemas.openxmlformats.org/officeDocument/2006/relationships/hyperlink" Target="https://twitter.com/seriouslyclara/status/1029247846967463937" TargetMode="External"/><Relationship Id="rId242" Type="http://schemas.openxmlformats.org/officeDocument/2006/relationships/hyperlink" Target="https://twitter.com/seriouslyclara/status/778519350542147584" TargetMode="External"/><Relationship Id="rId120" Type="http://schemas.openxmlformats.org/officeDocument/2006/relationships/hyperlink" Target="https://twitter.com/seriouslyclara/status/1071334045630443526" TargetMode="External"/><Relationship Id="rId241" Type="http://schemas.openxmlformats.org/officeDocument/2006/relationships/hyperlink" Target="https://twitter.com/seriouslyclara/status/1018014479907373058" TargetMode="External"/><Relationship Id="rId240" Type="http://schemas.openxmlformats.org/officeDocument/2006/relationships/hyperlink" Target="https://twitter.com/seriouslyclara/status/1008966346208473088" TargetMode="External"/><Relationship Id="rId125" Type="http://schemas.openxmlformats.org/officeDocument/2006/relationships/hyperlink" Target="https://twitter.com/seriouslyclara/status/1103724495620186112" TargetMode="External"/><Relationship Id="rId246" Type="http://schemas.openxmlformats.org/officeDocument/2006/relationships/hyperlink" Target="https://twitter.com/seriouslyclara/status/895157188502536192" TargetMode="External"/><Relationship Id="rId124" Type="http://schemas.openxmlformats.org/officeDocument/2006/relationships/hyperlink" Target="https://twitter.com/seriouslyclara/status/736462296491294720" TargetMode="External"/><Relationship Id="rId245" Type="http://schemas.openxmlformats.org/officeDocument/2006/relationships/hyperlink" Target="https://twitter.com/seriouslyclara/status/797207010286542848" TargetMode="External"/><Relationship Id="rId123" Type="http://schemas.openxmlformats.org/officeDocument/2006/relationships/hyperlink" Target="https://twitter.com/seriouslyclara/status/1059715334779764737" TargetMode="External"/><Relationship Id="rId244" Type="http://schemas.openxmlformats.org/officeDocument/2006/relationships/hyperlink" Target="https://twitter.com/seriouslyclara/status/974912495646158848" TargetMode="External"/><Relationship Id="rId122" Type="http://schemas.openxmlformats.org/officeDocument/2006/relationships/hyperlink" Target="https://twitter.com/seriouslyclara/status/923456311378944000" TargetMode="External"/><Relationship Id="rId243" Type="http://schemas.openxmlformats.org/officeDocument/2006/relationships/hyperlink" Target="https://twitter.com/seriouslyclara/status/1061532077244313601" TargetMode="External"/><Relationship Id="rId95" Type="http://schemas.openxmlformats.org/officeDocument/2006/relationships/hyperlink" Target="https://twitter.com/seriouslyclara/status/942296720246841345" TargetMode="External"/><Relationship Id="rId94" Type="http://schemas.openxmlformats.org/officeDocument/2006/relationships/hyperlink" Target="https://twitter.com/seriouslyclara/status/786798222282895360" TargetMode="External"/><Relationship Id="rId97" Type="http://schemas.openxmlformats.org/officeDocument/2006/relationships/hyperlink" Target="https://twitter.com/seriouslyclara/status/797203033088065537" TargetMode="External"/><Relationship Id="rId96" Type="http://schemas.openxmlformats.org/officeDocument/2006/relationships/hyperlink" Target="https://twitter.com/seriouslyclara/status/1032541919652413441" TargetMode="External"/><Relationship Id="rId99" Type="http://schemas.openxmlformats.org/officeDocument/2006/relationships/hyperlink" Target="https://twitter.com/seriouslyclara/status/901364496563814401" TargetMode="External"/><Relationship Id="rId98" Type="http://schemas.openxmlformats.org/officeDocument/2006/relationships/hyperlink" Target="https://twitter.com/seriouslyclara/status/1073865647619076097" TargetMode="External"/><Relationship Id="rId91" Type="http://schemas.openxmlformats.org/officeDocument/2006/relationships/hyperlink" Target="https://twitter.com/seriouslyclara/status/1094136993301159936" TargetMode="External"/><Relationship Id="rId90" Type="http://schemas.openxmlformats.org/officeDocument/2006/relationships/hyperlink" Target="https://twitter.com/seriouslyclara/status/814050581224386560" TargetMode="External"/><Relationship Id="rId93" Type="http://schemas.openxmlformats.org/officeDocument/2006/relationships/hyperlink" Target="https://twitter.com/seriouslyclara/status/996280931412467712" TargetMode="External"/><Relationship Id="rId92" Type="http://schemas.openxmlformats.org/officeDocument/2006/relationships/hyperlink" Target="https://twitter.com/seriouslyclara/status/980339810526089217" TargetMode="External"/><Relationship Id="rId118" Type="http://schemas.openxmlformats.org/officeDocument/2006/relationships/hyperlink" Target="https://twitter.com/seriouslyclara/status/991927422793666564" TargetMode="External"/><Relationship Id="rId239" Type="http://schemas.openxmlformats.org/officeDocument/2006/relationships/hyperlink" Target="https://twitter.com/seriouslyclara/status/1008267628203335681" TargetMode="External"/><Relationship Id="rId117" Type="http://schemas.openxmlformats.org/officeDocument/2006/relationships/hyperlink" Target="https://twitter.com/seriouslyclara/status/807810838375501824" TargetMode="External"/><Relationship Id="rId238" Type="http://schemas.openxmlformats.org/officeDocument/2006/relationships/hyperlink" Target="https://twitter.com/seriouslyclara/status/1039410066766540800" TargetMode="External"/><Relationship Id="rId116" Type="http://schemas.openxmlformats.org/officeDocument/2006/relationships/hyperlink" Target="https://twitter.com/seriouslyclara/status/956077536584306688" TargetMode="External"/><Relationship Id="rId237" Type="http://schemas.openxmlformats.org/officeDocument/2006/relationships/hyperlink" Target="https://twitter.com/seriouslyclara/status/707501629390462976" TargetMode="External"/><Relationship Id="rId115" Type="http://schemas.openxmlformats.org/officeDocument/2006/relationships/hyperlink" Target="https://twitter.com/seriouslyclara/status/880316138713825280" TargetMode="External"/><Relationship Id="rId236" Type="http://schemas.openxmlformats.org/officeDocument/2006/relationships/hyperlink" Target="https://twitter.com/seriouslyclara/status/1017660769813401600" TargetMode="External"/><Relationship Id="rId119" Type="http://schemas.openxmlformats.org/officeDocument/2006/relationships/hyperlink" Target="https://twitter.com/seriouslyclara/status/969841775274639361" TargetMode="External"/><Relationship Id="rId110" Type="http://schemas.openxmlformats.org/officeDocument/2006/relationships/hyperlink" Target="https://twitter.com/seriouslyclara/status/952099375018262528" TargetMode="External"/><Relationship Id="rId231" Type="http://schemas.openxmlformats.org/officeDocument/2006/relationships/hyperlink" Target="https://twitter.com/seriouslyclara/status/878497648902258689" TargetMode="External"/><Relationship Id="rId230" Type="http://schemas.openxmlformats.org/officeDocument/2006/relationships/hyperlink" Target="https://twitter.com/seriouslyclara/status/873425103798784000" TargetMode="External"/><Relationship Id="rId114" Type="http://schemas.openxmlformats.org/officeDocument/2006/relationships/hyperlink" Target="https://twitter.com/seriouslyclara/status/967687424007585792" TargetMode="External"/><Relationship Id="rId235" Type="http://schemas.openxmlformats.org/officeDocument/2006/relationships/hyperlink" Target="https://twitter.com/seriouslyclara/status/1049549289096007680" TargetMode="External"/><Relationship Id="rId113" Type="http://schemas.openxmlformats.org/officeDocument/2006/relationships/hyperlink" Target="https://twitter.com/seriouslyclara/status/943404116243443712" TargetMode="External"/><Relationship Id="rId234" Type="http://schemas.openxmlformats.org/officeDocument/2006/relationships/hyperlink" Target="https://twitter.com/seriouslyclara/status/891204573494480897" TargetMode="External"/><Relationship Id="rId112" Type="http://schemas.openxmlformats.org/officeDocument/2006/relationships/hyperlink" Target="https://twitter.com/seriouslyclara/status/944832591978422272" TargetMode="External"/><Relationship Id="rId233" Type="http://schemas.openxmlformats.org/officeDocument/2006/relationships/hyperlink" Target="https://twitter.com/seriouslyclara/status/994468228784046080" TargetMode="External"/><Relationship Id="rId111" Type="http://schemas.openxmlformats.org/officeDocument/2006/relationships/hyperlink" Target="https://twitter.com/seriouslyclara/status/1016576053899288576" TargetMode="External"/><Relationship Id="rId232" Type="http://schemas.openxmlformats.org/officeDocument/2006/relationships/hyperlink" Target="https://twitter.com/seriouslyclara/status/1097747215274012673" TargetMode="External"/><Relationship Id="rId206" Type="http://schemas.openxmlformats.org/officeDocument/2006/relationships/hyperlink" Target="https://twitter.com/seriouslyclara/status/953507392930553857" TargetMode="External"/><Relationship Id="rId205" Type="http://schemas.openxmlformats.org/officeDocument/2006/relationships/hyperlink" Target="https://twitter.com/seriouslyclara/status/874517931731726336" TargetMode="External"/><Relationship Id="rId204" Type="http://schemas.openxmlformats.org/officeDocument/2006/relationships/hyperlink" Target="https://twitter.com/seriouslyclara/status/1026001513620037632" TargetMode="External"/><Relationship Id="rId203" Type="http://schemas.openxmlformats.org/officeDocument/2006/relationships/hyperlink" Target="https://twitter.com/seriouslyclara/status/797359538647117825" TargetMode="External"/><Relationship Id="rId209" Type="http://schemas.openxmlformats.org/officeDocument/2006/relationships/hyperlink" Target="https://twitter.com/seriouslyclara/status/1047017264057372672" TargetMode="External"/><Relationship Id="rId208" Type="http://schemas.openxmlformats.org/officeDocument/2006/relationships/hyperlink" Target="https://twitter.com/seriouslyclara/status/717248132829089792" TargetMode="External"/><Relationship Id="rId207" Type="http://schemas.openxmlformats.org/officeDocument/2006/relationships/hyperlink" Target="https://twitter.com/seriouslyclara/status/876007274812104706" TargetMode="External"/><Relationship Id="rId202" Type="http://schemas.openxmlformats.org/officeDocument/2006/relationships/hyperlink" Target="https://twitter.com/seriouslyclara/status/821640061125066752" TargetMode="External"/><Relationship Id="rId201" Type="http://schemas.openxmlformats.org/officeDocument/2006/relationships/hyperlink" Target="https://twitter.com/seriouslyclara/status/818734166523068417" TargetMode="External"/><Relationship Id="rId200" Type="http://schemas.openxmlformats.org/officeDocument/2006/relationships/hyperlink" Target="https://twitter.com/seriouslyclara/status/1076754705869504512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2.14"/>
    <col customWidth="1" min="2" max="2" width="28.43"/>
    <col customWidth="1" min="3" max="3" width="37.43"/>
    <col customWidth="1" min="4" max="4" width="14.14"/>
    <col customWidth="1" min="5" max="5" width="11.29"/>
    <col customWidth="1" min="6" max="6" width="17.71"/>
    <col customWidth="1" min="7" max="7" width="33.43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42171.0</v>
      </c>
      <c r="B2" s="8" t="s">
        <v>7</v>
      </c>
      <c r="C2" s="8" t="s">
        <v>8</v>
      </c>
      <c r="D2" s="8" t="s">
        <v>9</v>
      </c>
      <c r="E2" s="9" t="str">
        <f>HYPERLINK("http://i.gyazo.com/7d5f4a9e47a55609fdd023265cbc4ec3.png","Link")</f>
        <v>Link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>
        <v>42172.0</v>
      </c>
      <c r="B3" s="12" t="s">
        <v>10</v>
      </c>
      <c r="C3" s="12" t="s">
        <v>11</v>
      </c>
      <c r="D3" s="12" t="s">
        <v>12</v>
      </c>
      <c r="E3" s="13" t="str">
        <f>HYPERLINK("http://www.zerochan.net/911027#full","Link")</f>
        <v>Link</v>
      </c>
      <c r="F3" s="7"/>
      <c r="G3" s="14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>
        <v>42175.0</v>
      </c>
      <c r="B4" s="12" t="s">
        <v>13</v>
      </c>
      <c r="C4" s="15" t="s">
        <v>14</v>
      </c>
      <c r="D4" s="12" t="s">
        <v>15</v>
      </c>
      <c r="E4" s="16" t="str">
        <f>HYPERLINK("http://i.ytimg.com/vi/ehImE3FpDb8/maxresdefault.jpg","Link")</f>
        <v>Link</v>
      </c>
      <c r="F4" s="7"/>
      <c r="G4" s="1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42180.0</v>
      </c>
      <c r="B5" s="15" t="s">
        <v>16</v>
      </c>
      <c r="C5" s="12" t="s">
        <v>17</v>
      </c>
      <c r="D5" s="12" t="s">
        <v>18</v>
      </c>
      <c r="E5" s="9" t="str">
        <f>HYPERLINK("http://www.superbwallpapers.com/animals/cat-with-reindeer-antlers-17337/","Link")</f>
        <v>Link</v>
      </c>
      <c r="F5" s="12" t="s">
        <v>19</v>
      </c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8">
        <v>42191.0</v>
      </c>
      <c r="B6" s="12" t="s">
        <v>20</v>
      </c>
      <c r="C6" s="12" t="s">
        <v>21</v>
      </c>
      <c r="D6" s="12" t="s">
        <v>15</v>
      </c>
      <c r="E6" s="16" t="str">
        <f>HYPERLINK("http://cdn2-b.examiner.com/sites/default/files/styles/article_large/hash/20/c7/20c72f5be68643aef1201e6452eccd01.jpg?itok=-2d3PDl0","Link")</f>
        <v>Link</v>
      </c>
      <c r="F6" s="7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8">
        <v>42191.0</v>
      </c>
      <c r="B7" s="12" t="s">
        <v>22</v>
      </c>
      <c r="C7" s="12" t="s">
        <v>23</v>
      </c>
      <c r="D7" s="12" t="s">
        <v>24</v>
      </c>
      <c r="E7" s="16" t="str">
        <f>HYPERLINK("http://images5.fanpop.com/image/photos/31400000/Alice-american-mcgees-alice-31480621-2560-1440.jpg","Link")</f>
        <v>Link</v>
      </c>
      <c r="F7" s="18">
        <v>42191.0</v>
      </c>
      <c r="G7" s="19" t="str">
        <f>HYPERLINK("https://twitter.com/SirWedgie/status/618287340780429312","Link")</f>
        <v>Link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8">
        <v>42191.0</v>
      </c>
      <c r="B8" s="12" t="s">
        <v>25</v>
      </c>
      <c r="C8" s="12" t="s">
        <v>26</v>
      </c>
      <c r="D8" s="12" t="s">
        <v>15</v>
      </c>
      <c r="E8" s="13" t="str">
        <f>HYPERLINK("http://pre07.deviantart.net/6d87/th/pre/i/2014/147/f/9/elphaba_elsa__wicked_frozen_crossover_by_poptartandpogostick-d7jxqpq.jpg","Link")</f>
        <v>Link</v>
      </c>
      <c r="F8" s="7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8">
        <v>42197.0</v>
      </c>
      <c r="B9" s="20" t="s">
        <v>27</v>
      </c>
      <c r="C9" s="12" t="s">
        <v>28</v>
      </c>
      <c r="D9" s="12" t="s">
        <v>29</v>
      </c>
      <c r="E9" s="13" t="str">
        <f>HYPERLINK("https://rack1.chipmeup.com/assets/twitch/logo-cd148048b88ce417a0c815548e7e4681.png","Link")</f>
        <v>Link</v>
      </c>
      <c r="F9" s="18">
        <v>42266.0</v>
      </c>
      <c r="G9" s="19" t="str">
        <f>HYPERLINK("https://twitter.com/SirWedgie/status/645467124899688448","Link")</f>
        <v>Link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1">
        <v>42206.0</v>
      </c>
      <c r="B10" s="22" t="s">
        <v>30</v>
      </c>
      <c r="C10" s="22" t="s">
        <v>31</v>
      </c>
      <c r="D10" s="22" t="s">
        <v>15</v>
      </c>
      <c r="E10" s="23" t="str">
        <f>HYPERLINK("http://vignette2.wikia.nocookie.net/k-on/images/9/9a/Ritsu_in_No,_Thank_You.jpg/revision/latest?cb=20121211143926","Link")</f>
        <v>Link</v>
      </c>
      <c r="F10" s="24"/>
      <c r="G10" s="25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6">
        <v>42209.0</v>
      </c>
      <c r="B11" s="27" t="s">
        <v>32</v>
      </c>
      <c r="C11" s="27" t="s">
        <v>33</v>
      </c>
      <c r="D11" s="27" t="s">
        <v>15</v>
      </c>
      <c r="E11" s="28" t="str">
        <f>HYPERLINK("http://previews.123rf.com/images/antonbrand/antonbrand1104/antonbrand110400185/9311596-Cartoon-viking-with-a-big-axe-Isolated-on-white-Stock-Vector-vikings.jpg","Link")</f>
        <v>Link</v>
      </c>
      <c r="F11" s="26">
        <v>42379.0</v>
      </c>
      <c r="G11" s="28" t="str">
        <f>HYPERLINK("https://twitter.com/SirWedgie/status/686099760017752064","Link")</f>
        <v>Link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6">
        <v>42210.0</v>
      </c>
      <c r="B12" s="27" t="s">
        <v>34</v>
      </c>
      <c r="C12" s="27" t="s">
        <v>35</v>
      </c>
      <c r="D12" s="29"/>
      <c r="E12" s="30"/>
      <c r="F12" s="26">
        <v>42259.0</v>
      </c>
      <c r="G12" s="28" t="str">
        <f>HYPERLINK("https://twitter.com/SirWedgie/status/642924666974273536","Link")</f>
        <v>Link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6">
        <v>42230.0</v>
      </c>
      <c r="B13" s="27" t="s">
        <v>36</v>
      </c>
      <c r="C13" s="27" t="s">
        <v>37</v>
      </c>
      <c r="D13" s="27" t="s">
        <v>15</v>
      </c>
      <c r="E13" s="28" t="str">
        <f>HYPERLINK("http://i.imgur.com/34Ulh6Q.png","Link")</f>
        <v>Link</v>
      </c>
      <c r="F13" s="26">
        <v>42294.0</v>
      </c>
      <c r="G13" s="28" t="str">
        <f>HYPERLINK("https://twitter.com/SirWedgie/status/655615593962459136","Link")</f>
        <v>Link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6">
        <v>42253.0</v>
      </c>
      <c r="B14" s="27" t="s">
        <v>38</v>
      </c>
      <c r="C14" s="27" t="s">
        <v>39</v>
      </c>
      <c r="D14" s="27" t="s">
        <v>40</v>
      </c>
      <c r="E14" s="31" t="str">
        <f>HYPERLINK("http://thedaoofdragonball.com/wp-content/uploads/2013/03/goku-flying-nimbus.jpg","link")</f>
        <v>link</v>
      </c>
      <c r="F14" s="26">
        <v>42259.0</v>
      </c>
      <c r="G14" s="28" t="str">
        <f>HYPERLINK("https://twitter.com/SirWedgie/status/642940678620749824","Link")</f>
        <v>Link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6">
        <v>42259.0</v>
      </c>
      <c r="B15" s="27" t="s">
        <v>41</v>
      </c>
      <c r="C15" s="27" t="s">
        <v>42</v>
      </c>
      <c r="D15" s="27" t="s">
        <v>15</v>
      </c>
      <c r="E15" s="28" t="str">
        <f>HYPERLINK("http://vignette3.wikia.nocookie.net/lisa-rpg/images/6/6c/Nern_HD.png/revision/latest?cb=20150207115744","Link")</f>
        <v>Link</v>
      </c>
      <c r="F15" s="26">
        <v>42266.0</v>
      </c>
      <c r="G15" s="28" t="str">
        <f>HYPERLINK("https://twitter.com/SirWedgie/status/645461017032564741","Link")</f>
        <v>Link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6">
        <v>42259.0</v>
      </c>
      <c r="B16" s="27" t="s">
        <v>43</v>
      </c>
      <c r="C16" s="27" t="s">
        <v>44</v>
      </c>
      <c r="D16" s="27" t="s">
        <v>45</v>
      </c>
      <c r="E16" s="28" t="str">
        <f>HYPERLINK("http://orig11.deviantart.net/26a6/f/2010/249/0/2/usopp_x_luffy_by_hardcandy23-d2y7a8w.jpg","Link")</f>
        <v>Link</v>
      </c>
      <c r="F16" s="26">
        <v>42358.0</v>
      </c>
      <c r="G16" s="28" t="str">
        <f>HYPERLINK("https://twitter.com/SirWedgie/status/678504390341345281","Link")</f>
        <v>Link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6">
        <v>42259.0</v>
      </c>
      <c r="B17" s="27" t="s">
        <v>46</v>
      </c>
      <c r="C17" s="27" t="s">
        <v>47</v>
      </c>
      <c r="D17" s="27" t="s">
        <v>40</v>
      </c>
      <c r="E17" s="28" t="str">
        <f>HYPERLINK("http://i.imgur.com/lll2fWK.jpg","Link")</f>
        <v>Link</v>
      </c>
      <c r="F17" s="26">
        <v>42266.0</v>
      </c>
      <c r="G17" s="28" t="str">
        <f>HYPERLINK("https://twitter.com/SirWedgie/status/645482070656090112","Link")</f>
        <v>Link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6">
        <v>42259.0</v>
      </c>
      <c r="B18" s="27" t="s">
        <v>48</v>
      </c>
      <c r="C18" s="27" t="s">
        <v>49</v>
      </c>
      <c r="D18" s="27" t="s">
        <v>29</v>
      </c>
      <c r="E18" s="28" t="str">
        <f>HYPERLINK("http://vignette3.wikia.nocookie.net/mahoushoujomadokamagica/images/1/11/Mahou_Shoujo_Madoka_Magica_-_12_-_Large_33.jpg/revision/latest?cb=20130615153237","Link")</f>
        <v>Link</v>
      </c>
      <c r="F18" s="32"/>
      <c r="G18" s="3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6">
        <v>42260.0</v>
      </c>
      <c r="B19" s="27" t="s">
        <v>50</v>
      </c>
      <c r="C19" s="27" t="s">
        <v>51</v>
      </c>
      <c r="D19" s="29"/>
      <c r="E19" s="30"/>
      <c r="F19" s="26">
        <v>42337.0</v>
      </c>
      <c r="G19" s="28" t="str">
        <f>HYPERLINK("https://twitter.com/SirWedgie/status/670887704939376640","Link")</f>
        <v>Link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6">
        <v>42266.0</v>
      </c>
      <c r="B20" s="27" t="s">
        <v>52</v>
      </c>
      <c r="C20" s="27" t="s">
        <v>53</v>
      </c>
      <c r="D20" s="27" t="s">
        <v>24</v>
      </c>
      <c r="E20" s="28" t="str">
        <f>HYPERLINK("https://41.media.tumblr.com/6ce2316929ead4174d07d3b2e2abb8d7/tumblr_nm5bdbm9yY1sa1lf7o1_500.png","Link")</f>
        <v>Link</v>
      </c>
      <c r="F20" s="26"/>
      <c r="G20" s="3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6">
        <v>42266.0</v>
      </c>
      <c r="B21" s="27" t="s">
        <v>54</v>
      </c>
      <c r="C21" s="27" t="s">
        <v>55</v>
      </c>
      <c r="D21" s="27" t="s">
        <v>40</v>
      </c>
      <c r="E21" s="28" t="str">
        <f>HYPERLINK("http://pre01.deviantart.net/dfa3/th/pre/i/2012/227/5/7/haunter_by_jinglesrasco-d5b5dqh.png","Link")</f>
        <v>Link</v>
      </c>
      <c r="F21" s="26">
        <v>42295.0</v>
      </c>
      <c r="G21" s="28" t="str">
        <f>HYPERLINK("https://twitter.com/SirWedgie/status/655635102970609664","Link")</f>
        <v>Link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6">
        <v>42266.0</v>
      </c>
      <c r="B22" s="27" t="s">
        <v>56</v>
      </c>
      <c r="C22" s="27" t="s">
        <v>57</v>
      </c>
      <c r="D22" s="29"/>
      <c r="E22" s="28" t="str">
        <f>HYPERLINK("http://i.imgur.com/igPzm4K.png","Link")</f>
        <v>Link</v>
      </c>
      <c r="F22" s="26">
        <v>42302.0</v>
      </c>
      <c r="G22" s="28" t="str">
        <f>HYPERLINK("https://twitter.com/SirWedgie/status/658183745015558144","Link")</f>
        <v>Link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6">
        <v>42266.0</v>
      </c>
      <c r="B23" s="27" t="s">
        <v>58</v>
      </c>
      <c r="C23" s="27" t="s">
        <v>59</v>
      </c>
      <c r="D23" s="27" t="s">
        <v>60</v>
      </c>
      <c r="E23" s="28" t="str">
        <f>HYPERLINK("http://i.imgur.com/b8z19gN.png","Link")</f>
        <v>Link</v>
      </c>
      <c r="F23" s="27" t="s">
        <v>61</v>
      </c>
      <c r="G23" s="3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6">
        <v>42266.0</v>
      </c>
      <c r="B24" s="27" t="s">
        <v>62</v>
      </c>
      <c r="C24" s="27" t="s">
        <v>63</v>
      </c>
      <c r="D24" s="29"/>
      <c r="E24" s="28" t="str">
        <f>HYPERLINK("https://wiki.teamfortress.com/w/images/thumb/a/af/Demoman_taunt_laugh.png/350px-Demoman_taunt_laugh.png?t=20111122222532","Link")</f>
        <v>Link</v>
      </c>
      <c r="F24" s="32"/>
      <c r="G24" s="3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6">
        <v>42266.0</v>
      </c>
      <c r="B25" s="27" t="s">
        <v>64</v>
      </c>
      <c r="C25" s="27" t="s">
        <v>65</v>
      </c>
      <c r="D25" s="27" t="s">
        <v>15</v>
      </c>
      <c r="E25" s="28" t="str">
        <f>HYPERLINK("http://www.cosplayisland.co.uk/files/costumes/7579/96974/CI_96974_1428582249.jpg","Link")</f>
        <v>Link</v>
      </c>
      <c r="F25" s="32"/>
      <c r="G25" s="3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6">
        <v>42281.0</v>
      </c>
      <c r="B26" s="27" t="s">
        <v>66</v>
      </c>
      <c r="C26" s="27" t="s">
        <v>67</v>
      </c>
      <c r="D26" s="27" t="s">
        <v>15</v>
      </c>
      <c r="E26" s="28" t="str">
        <f>HYPERLINK("http://imgur.com/NGEfURw","Link")</f>
        <v>Link</v>
      </c>
      <c r="F26" s="26">
        <v>42302.0</v>
      </c>
      <c r="G26" s="28" t="str">
        <f>HYPERLINK("https://twitter.com/SirWedgie/status/658193243058937856","Link")</f>
        <v>Link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26">
        <v>42315.0</v>
      </c>
      <c r="B27" s="27" t="s">
        <v>68</v>
      </c>
      <c r="C27" s="27" t="s">
        <v>69</v>
      </c>
      <c r="D27" s="29"/>
      <c r="E27" s="28" t="str">
        <f>HYPERLINK("http://i.imgur.com/3qHEDDt.jpg","Link")</f>
        <v>Link</v>
      </c>
      <c r="F27" s="26">
        <v>42322.0</v>
      </c>
      <c r="G27" s="28" t="str">
        <f>HYPERLINK("https://twitter.com/SirWedgie/status/665778734125989888","Link")</f>
        <v>Link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6">
        <v>42322.0</v>
      </c>
      <c r="B28" s="27" t="s">
        <v>70</v>
      </c>
      <c r="C28" s="27" t="s">
        <v>71</v>
      </c>
      <c r="D28" s="29"/>
      <c r="E28" s="30"/>
      <c r="F28" s="26">
        <v>42322.0</v>
      </c>
      <c r="G28" s="28" t="str">
        <f>HYPERLINK("https://twitter.com/CrisuKomie/status/665765939359694848","Link")</f>
        <v>Link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32"/>
      <c r="B29" s="29"/>
      <c r="C29" s="29"/>
      <c r="D29" s="29"/>
      <c r="E29" s="30"/>
      <c r="F29" s="32"/>
      <c r="G29" s="3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32"/>
      <c r="B30" s="29"/>
      <c r="C30" s="29"/>
      <c r="D30" s="29"/>
      <c r="E30" s="30"/>
      <c r="F30" s="32"/>
      <c r="G30" s="3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32"/>
      <c r="B31" s="29"/>
      <c r="C31" s="29"/>
      <c r="D31" s="29"/>
      <c r="E31" s="30"/>
      <c r="F31" s="32"/>
      <c r="G31" s="3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32"/>
      <c r="B32" s="29"/>
      <c r="C32" s="29"/>
      <c r="D32" s="29"/>
      <c r="E32" s="30"/>
      <c r="F32" s="32"/>
      <c r="G32" s="3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32"/>
      <c r="B33" s="29"/>
      <c r="C33" s="29"/>
      <c r="D33" s="29"/>
      <c r="E33" s="30"/>
      <c r="F33" s="32"/>
      <c r="G33" s="3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32"/>
      <c r="B34" s="29"/>
      <c r="C34" s="29"/>
      <c r="D34" s="29"/>
      <c r="E34" s="30"/>
      <c r="F34" s="32"/>
      <c r="G34" s="3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32"/>
      <c r="B35" s="29"/>
      <c r="C35" s="29"/>
      <c r="D35" s="29"/>
      <c r="E35" s="30"/>
      <c r="F35" s="32"/>
      <c r="G35" s="3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32"/>
      <c r="B36" s="29"/>
      <c r="C36" s="29"/>
      <c r="D36" s="29"/>
      <c r="E36" s="30"/>
      <c r="F36" s="32"/>
      <c r="G36" s="3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32"/>
      <c r="B37" s="29"/>
      <c r="C37" s="29"/>
      <c r="D37" s="29"/>
      <c r="E37" s="30"/>
      <c r="F37" s="32"/>
      <c r="G37" s="3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32"/>
      <c r="B38" s="29"/>
      <c r="C38" s="29"/>
      <c r="D38" s="29"/>
      <c r="E38" s="30"/>
      <c r="F38" s="32"/>
      <c r="G38" s="3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32"/>
      <c r="B39" s="29"/>
      <c r="C39" s="29"/>
      <c r="D39" s="29"/>
      <c r="E39" s="30"/>
      <c r="F39" s="32"/>
      <c r="G39" s="3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32"/>
      <c r="B40" s="29"/>
      <c r="C40" s="29"/>
      <c r="D40" s="29"/>
      <c r="E40" s="30"/>
      <c r="F40" s="32"/>
      <c r="G40" s="3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32"/>
      <c r="B41" s="29"/>
      <c r="C41" s="29"/>
      <c r="D41" s="29"/>
      <c r="E41" s="30"/>
      <c r="F41" s="32"/>
      <c r="G41" s="3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32"/>
      <c r="B42" s="29"/>
      <c r="C42" s="29"/>
      <c r="D42" s="29"/>
      <c r="E42" s="30"/>
      <c r="F42" s="32"/>
      <c r="G42" s="3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32"/>
      <c r="B43" s="29"/>
      <c r="C43" s="29"/>
      <c r="D43" s="29"/>
      <c r="E43" s="30"/>
      <c r="F43" s="32"/>
      <c r="G43" s="3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32"/>
      <c r="B44" s="29"/>
      <c r="C44" s="29"/>
      <c r="D44" s="29"/>
      <c r="E44" s="30"/>
      <c r="F44" s="32"/>
      <c r="G44" s="3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32"/>
      <c r="B45" s="29"/>
      <c r="C45" s="29"/>
      <c r="D45" s="29"/>
      <c r="E45" s="30"/>
      <c r="F45" s="32"/>
      <c r="G45" s="3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32"/>
      <c r="B46" s="29"/>
      <c r="C46" s="29"/>
      <c r="D46" s="29"/>
      <c r="E46" s="30"/>
      <c r="F46" s="32"/>
      <c r="G46" s="3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32"/>
      <c r="B47" s="29"/>
      <c r="C47" s="29"/>
      <c r="D47" s="29"/>
      <c r="E47" s="30"/>
      <c r="F47" s="32"/>
      <c r="G47" s="3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32"/>
      <c r="B48" s="29"/>
      <c r="C48" s="29"/>
      <c r="D48" s="29"/>
      <c r="E48" s="30"/>
      <c r="F48" s="32"/>
      <c r="G48" s="3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32"/>
      <c r="B49" s="29"/>
      <c r="C49" s="29"/>
      <c r="D49" s="29"/>
      <c r="E49" s="30"/>
      <c r="F49" s="32"/>
      <c r="G49" s="3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32"/>
      <c r="B50" s="29"/>
      <c r="C50" s="29"/>
      <c r="D50" s="29"/>
      <c r="E50" s="30"/>
      <c r="F50" s="32"/>
      <c r="G50" s="3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32"/>
      <c r="B51" s="29"/>
      <c r="C51" s="29"/>
      <c r="D51" s="29"/>
      <c r="E51" s="30"/>
      <c r="F51" s="32"/>
      <c r="G51" s="3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32"/>
      <c r="B52" s="29"/>
      <c r="C52" s="29"/>
      <c r="D52" s="29"/>
      <c r="E52" s="30"/>
      <c r="F52" s="32"/>
      <c r="G52" s="3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32"/>
      <c r="B53" s="29"/>
      <c r="C53" s="29"/>
      <c r="D53" s="29"/>
      <c r="E53" s="30"/>
      <c r="F53" s="32"/>
      <c r="G53" s="3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32"/>
      <c r="B54" s="29"/>
      <c r="C54" s="29"/>
      <c r="D54" s="29"/>
      <c r="E54" s="30"/>
      <c r="F54" s="32"/>
      <c r="G54" s="3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32"/>
      <c r="B55" s="29"/>
      <c r="C55" s="29"/>
      <c r="D55" s="29"/>
      <c r="E55" s="30"/>
      <c r="F55" s="32"/>
      <c r="G55" s="3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32"/>
      <c r="B56" s="29"/>
      <c r="C56" s="29"/>
      <c r="D56" s="29"/>
      <c r="E56" s="30"/>
      <c r="F56" s="32"/>
      <c r="G56" s="3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32"/>
      <c r="B57" s="29"/>
      <c r="C57" s="29"/>
      <c r="D57" s="29"/>
      <c r="E57" s="30"/>
      <c r="F57" s="32"/>
      <c r="G57" s="3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32"/>
      <c r="B58" s="29"/>
      <c r="C58" s="29"/>
      <c r="D58" s="29"/>
      <c r="E58" s="30"/>
      <c r="F58" s="32"/>
      <c r="G58" s="3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32"/>
      <c r="B59" s="29"/>
      <c r="C59" s="29"/>
      <c r="D59" s="29"/>
      <c r="E59" s="30"/>
      <c r="F59" s="32"/>
      <c r="G59" s="3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32"/>
      <c r="B60" s="29"/>
      <c r="C60" s="29"/>
      <c r="D60" s="29"/>
      <c r="E60" s="30"/>
      <c r="F60" s="32"/>
      <c r="G60" s="3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32"/>
      <c r="B61" s="29"/>
      <c r="C61" s="29"/>
      <c r="D61" s="29"/>
      <c r="E61" s="30"/>
      <c r="F61" s="32"/>
      <c r="G61" s="3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32"/>
      <c r="B62" s="29"/>
      <c r="C62" s="29"/>
      <c r="D62" s="29"/>
      <c r="E62" s="30"/>
      <c r="F62" s="32"/>
      <c r="G62" s="3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32"/>
      <c r="B63" s="29"/>
      <c r="C63" s="29"/>
      <c r="D63" s="29"/>
      <c r="E63" s="30"/>
      <c r="F63" s="32"/>
      <c r="G63" s="3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32"/>
      <c r="B64" s="29"/>
      <c r="C64" s="29"/>
      <c r="D64" s="29"/>
      <c r="E64" s="30"/>
      <c r="F64" s="32"/>
      <c r="G64" s="3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32"/>
      <c r="B65" s="29"/>
      <c r="C65" s="29"/>
      <c r="D65" s="29"/>
      <c r="E65" s="30"/>
      <c r="F65" s="32"/>
      <c r="G65" s="3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32"/>
      <c r="B66" s="29"/>
      <c r="C66" s="29"/>
      <c r="D66" s="29"/>
      <c r="E66" s="30"/>
      <c r="F66" s="32"/>
      <c r="G66" s="3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32"/>
      <c r="B67" s="29"/>
      <c r="C67" s="29"/>
      <c r="D67" s="29"/>
      <c r="E67" s="30"/>
      <c r="F67" s="32"/>
      <c r="G67" s="3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32"/>
      <c r="B68" s="29"/>
      <c r="C68" s="29"/>
      <c r="D68" s="29"/>
      <c r="E68" s="30"/>
      <c r="F68" s="32"/>
      <c r="G68" s="3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32"/>
      <c r="B69" s="29"/>
      <c r="C69" s="29"/>
      <c r="D69" s="29"/>
      <c r="E69" s="30"/>
      <c r="F69" s="32"/>
      <c r="G69" s="3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32"/>
      <c r="B70" s="29"/>
      <c r="C70" s="29"/>
      <c r="D70" s="29"/>
      <c r="E70" s="30"/>
      <c r="F70" s="32"/>
      <c r="G70" s="3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32"/>
      <c r="B71" s="29"/>
      <c r="C71" s="29"/>
      <c r="D71" s="29"/>
      <c r="E71" s="30"/>
      <c r="F71" s="32"/>
      <c r="G71" s="3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32"/>
      <c r="B72" s="29"/>
      <c r="C72" s="29"/>
      <c r="D72" s="29"/>
      <c r="E72" s="30"/>
      <c r="F72" s="32"/>
      <c r="G72" s="3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32"/>
      <c r="B73" s="29"/>
      <c r="C73" s="29"/>
      <c r="D73" s="29"/>
      <c r="E73" s="30"/>
      <c r="F73" s="32"/>
      <c r="G73" s="3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32"/>
      <c r="B74" s="29"/>
      <c r="C74" s="29"/>
      <c r="D74" s="29"/>
      <c r="E74" s="30"/>
      <c r="F74" s="32"/>
      <c r="G74" s="3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32"/>
      <c r="B75" s="29"/>
      <c r="C75" s="29"/>
      <c r="D75" s="29"/>
      <c r="E75" s="30"/>
      <c r="F75" s="32"/>
      <c r="G75" s="3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32"/>
      <c r="B76" s="29"/>
      <c r="C76" s="29"/>
      <c r="D76" s="29"/>
      <c r="E76" s="30"/>
      <c r="F76" s="32"/>
      <c r="G76" s="30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32"/>
      <c r="B77" s="29"/>
      <c r="C77" s="29"/>
      <c r="D77" s="29"/>
      <c r="E77" s="30"/>
      <c r="F77" s="32"/>
      <c r="G77" s="3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32"/>
      <c r="B78" s="29"/>
      <c r="C78" s="29"/>
      <c r="D78" s="29"/>
      <c r="E78" s="30"/>
      <c r="F78" s="32"/>
      <c r="G78" s="30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32"/>
      <c r="B79" s="29"/>
      <c r="C79" s="29"/>
      <c r="D79" s="29"/>
      <c r="E79" s="30"/>
      <c r="F79" s="32"/>
      <c r="G79" s="3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32"/>
      <c r="B80" s="29"/>
      <c r="C80" s="29"/>
      <c r="D80" s="29"/>
      <c r="E80" s="30"/>
      <c r="F80" s="32"/>
      <c r="G80" s="3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32"/>
      <c r="B81" s="29"/>
      <c r="C81" s="29"/>
      <c r="D81" s="29"/>
      <c r="E81" s="30"/>
      <c r="F81" s="32"/>
      <c r="G81" s="3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32"/>
      <c r="B82" s="29"/>
      <c r="C82" s="29"/>
      <c r="D82" s="29"/>
      <c r="E82" s="30"/>
      <c r="F82" s="32"/>
      <c r="G82" s="30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32"/>
      <c r="B83" s="29"/>
      <c r="C83" s="29"/>
      <c r="D83" s="29"/>
      <c r="E83" s="30"/>
      <c r="F83" s="32"/>
      <c r="G83" s="30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32"/>
      <c r="B84" s="29"/>
      <c r="C84" s="29"/>
      <c r="D84" s="29"/>
      <c r="E84" s="30"/>
      <c r="F84" s="32"/>
      <c r="G84" s="3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32"/>
      <c r="B85" s="29"/>
      <c r="C85" s="29"/>
      <c r="D85" s="29"/>
      <c r="E85" s="30"/>
      <c r="F85" s="32"/>
      <c r="G85" s="3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32"/>
      <c r="B86" s="29"/>
      <c r="C86" s="29"/>
      <c r="D86" s="29"/>
      <c r="E86" s="30"/>
      <c r="F86" s="32"/>
      <c r="G86" s="3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32"/>
      <c r="B87" s="29"/>
      <c r="C87" s="29"/>
      <c r="D87" s="29"/>
      <c r="E87" s="30"/>
      <c r="F87" s="32"/>
      <c r="G87" s="3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32"/>
      <c r="B88" s="29"/>
      <c r="C88" s="29"/>
      <c r="D88" s="29"/>
      <c r="E88" s="30"/>
      <c r="F88" s="32"/>
      <c r="G88" s="3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32"/>
      <c r="B89" s="29"/>
      <c r="C89" s="29"/>
      <c r="D89" s="29"/>
      <c r="E89" s="30"/>
      <c r="F89" s="32"/>
      <c r="G89" s="3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32"/>
      <c r="B90" s="29"/>
      <c r="C90" s="29"/>
      <c r="D90" s="29"/>
      <c r="E90" s="30"/>
      <c r="F90" s="32"/>
      <c r="G90" s="3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32"/>
      <c r="B91" s="29"/>
      <c r="C91" s="29"/>
      <c r="D91" s="29"/>
      <c r="E91" s="30"/>
      <c r="F91" s="32"/>
      <c r="G91" s="3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32"/>
      <c r="B92" s="29"/>
      <c r="C92" s="29"/>
      <c r="D92" s="29"/>
      <c r="E92" s="30"/>
      <c r="F92" s="32"/>
      <c r="G92" s="3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32"/>
      <c r="B93" s="29"/>
      <c r="C93" s="29"/>
      <c r="D93" s="29"/>
      <c r="E93" s="30"/>
      <c r="F93" s="32"/>
      <c r="G93" s="3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32"/>
      <c r="B94" s="29"/>
      <c r="C94" s="29"/>
      <c r="D94" s="29"/>
      <c r="E94" s="30"/>
      <c r="F94" s="32"/>
      <c r="G94" s="3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32"/>
      <c r="B95" s="29"/>
      <c r="C95" s="29"/>
      <c r="D95" s="29"/>
      <c r="E95" s="30"/>
      <c r="F95" s="32"/>
      <c r="G95" s="3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32"/>
      <c r="B96" s="29"/>
      <c r="C96" s="29"/>
      <c r="D96" s="29"/>
      <c r="E96" s="30"/>
      <c r="F96" s="32"/>
      <c r="G96" s="3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32"/>
      <c r="B97" s="29"/>
      <c r="C97" s="29"/>
      <c r="D97" s="29"/>
      <c r="E97" s="30"/>
      <c r="F97" s="32"/>
      <c r="G97" s="3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32"/>
      <c r="B98" s="29"/>
      <c r="C98" s="29"/>
      <c r="D98" s="29"/>
      <c r="E98" s="30"/>
      <c r="F98" s="32"/>
      <c r="G98" s="3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32"/>
      <c r="B99" s="29"/>
      <c r="C99" s="29"/>
      <c r="D99" s="29"/>
      <c r="E99" s="30"/>
      <c r="F99" s="32"/>
      <c r="G99" s="3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32"/>
      <c r="B100" s="29"/>
      <c r="C100" s="29"/>
      <c r="D100" s="29"/>
      <c r="E100" s="30"/>
      <c r="F100" s="32"/>
      <c r="G100" s="3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32"/>
      <c r="B101" s="29"/>
      <c r="C101" s="29"/>
      <c r="D101" s="29"/>
      <c r="E101" s="30"/>
      <c r="F101" s="32"/>
      <c r="G101" s="3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32"/>
      <c r="B102" s="29"/>
      <c r="C102" s="29"/>
      <c r="D102" s="29"/>
      <c r="E102" s="30"/>
      <c r="F102" s="32"/>
      <c r="G102" s="3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32"/>
      <c r="B103" s="29"/>
      <c r="C103" s="29"/>
      <c r="D103" s="29"/>
      <c r="E103" s="30"/>
      <c r="F103" s="32"/>
      <c r="G103" s="3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32"/>
      <c r="B104" s="29"/>
      <c r="C104" s="29"/>
      <c r="D104" s="29"/>
      <c r="E104" s="30"/>
      <c r="F104" s="32"/>
      <c r="G104" s="3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32"/>
      <c r="B105" s="29"/>
      <c r="C105" s="29"/>
      <c r="D105" s="29"/>
      <c r="E105" s="30"/>
      <c r="F105" s="32"/>
      <c r="G105" s="3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32"/>
      <c r="B106" s="29"/>
      <c r="C106" s="29"/>
      <c r="D106" s="29"/>
      <c r="E106" s="30"/>
      <c r="F106" s="32"/>
      <c r="G106" s="3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32"/>
      <c r="B107" s="29"/>
      <c r="C107" s="29"/>
      <c r="D107" s="29"/>
      <c r="E107" s="30"/>
      <c r="F107" s="32"/>
      <c r="G107" s="3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32"/>
      <c r="B108" s="29"/>
      <c r="C108" s="29"/>
      <c r="D108" s="29"/>
      <c r="E108" s="30"/>
      <c r="F108" s="32"/>
      <c r="G108" s="3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32"/>
      <c r="B109" s="29"/>
      <c r="C109" s="29"/>
      <c r="D109" s="29"/>
      <c r="E109" s="30"/>
      <c r="F109" s="32"/>
      <c r="G109" s="3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32"/>
      <c r="B110" s="29"/>
      <c r="C110" s="29"/>
      <c r="D110" s="29"/>
      <c r="E110" s="30"/>
      <c r="F110" s="32"/>
      <c r="G110" s="3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32"/>
      <c r="B111" s="29"/>
      <c r="C111" s="29"/>
      <c r="D111" s="29"/>
      <c r="E111" s="30"/>
      <c r="F111" s="32"/>
      <c r="G111" s="3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32"/>
      <c r="B112" s="29"/>
      <c r="C112" s="29"/>
      <c r="D112" s="29"/>
      <c r="E112" s="30"/>
      <c r="F112" s="32"/>
      <c r="G112" s="3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32"/>
      <c r="B113" s="29"/>
      <c r="C113" s="29"/>
      <c r="D113" s="29"/>
      <c r="E113" s="30"/>
      <c r="F113" s="32"/>
      <c r="G113" s="3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32"/>
      <c r="B114" s="29"/>
      <c r="C114" s="29"/>
      <c r="D114" s="29"/>
      <c r="E114" s="30"/>
      <c r="F114" s="32"/>
      <c r="G114" s="3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32"/>
      <c r="B115" s="29"/>
      <c r="C115" s="29"/>
      <c r="D115" s="29"/>
      <c r="E115" s="30"/>
      <c r="F115" s="32"/>
      <c r="G115" s="3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32"/>
      <c r="B116" s="29"/>
      <c r="C116" s="29"/>
      <c r="D116" s="29"/>
      <c r="E116" s="30"/>
      <c r="F116" s="32"/>
      <c r="G116" s="3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32"/>
      <c r="B117" s="29"/>
      <c r="C117" s="29"/>
      <c r="D117" s="29"/>
      <c r="E117" s="30"/>
      <c r="F117" s="32"/>
      <c r="G117" s="3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32"/>
      <c r="B118" s="29"/>
      <c r="C118" s="29"/>
      <c r="D118" s="29"/>
      <c r="E118" s="30"/>
      <c r="F118" s="32"/>
      <c r="G118" s="3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32"/>
      <c r="B119" s="29"/>
      <c r="C119" s="29"/>
      <c r="D119" s="29"/>
      <c r="E119" s="30"/>
      <c r="F119" s="32"/>
      <c r="G119" s="3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32"/>
      <c r="B120" s="29"/>
      <c r="C120" s="29"/>
      <c r="D120" s="29"/>
      <c r="E120" s="30"/>
      <c r="F120" s="32"/>
      <c r="G120" s="3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32"/>
      <c r="B121" s="29"/>
      <c r="C121" s="29"/>
      <c r="D121" s="29"/>
      <c r="E121" s="30"/>
      <c r="F121" s="32"/>
      <c r="G121" s="3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32"/>
      <c r="B122" s="29"/>
      <c r="C122" s="29"/>
      <c r="D122" s="29"/>
      <c r="E122" s="30"/>
      <c r="F122" s="32"/>
      <c r="G122" s="3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32"/>
      <c r="B123" s="29"/>
      <c r="C123" s="29"/>
      <c r="D123" s="29"/>
      <c r="E123" s="30"/>
      <c r="F123" s="32"/>
      <c r="G123" s="3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32"/>
      <c r="B124" s="29"/>
      <c r="C124" s="29"/>
      <c r="D124" s="29"/>
      <c r="E124" s="30"/>
      <c r="F124" s="32"/>
      <c r="G124" s="3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32"/>
      <c r="B125" s="29"/>
      <c r="C125" s="29"/>
      <c r="D125" s="29"/>
      <c r="E125" s="30"/>
      <c r="F125" s="32"/>
      <c r="G125" s="3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32"/>
      <c r="B126" s="29"/>
      <c r="C126" s="29"/>
      <c r="D126" s="29"/>
      <c r="E126" s="30"/>
      <c r="F126" s="32"/>
      <c r="G126" s="3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32"/>
      <c r="B127" s="29"/>
      <c r="C127" s="29"/>
      <c r="D127" s="29"/>
      <c r="E127" s="30"/>
      <c r="F127" s="32"/>
      <c r="G127" s="3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32"/>
      <c r="B128" s="29"/>
      <c r="C128" s="29"/>
      <c r="D128" s="29"/>
      <c r="E128" s="30"/>
      <c r="F128" s="32"/>
      <c r="G128" s="3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32"/>
      <c r="B129" s="29"/>
      <c r="C129" s="29"/>
      <c r="D129" s="29"/>
      <c r="E129" s="30"/>
      <c r="F129" s="32"/>
      <c r="G129" s="3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32"/>
      <c r="B130" s="29"/>
      <c r="C130" s="29"/>
      <c r="D130" s="29"/>
      <c r="E130" s="30"/>
      <c r="F130" s="32"/>
      <c r="G130" s="3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32"/>
      <c r="B131" s="29"/>
      <c r="C131" s="29"/>
      <c r="D131" s="29"/>
      <c r="E131" s="30"/>
      <c r="F131" s="32"/>
      <c r="G131" s="3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32"/>
      <c r="B132" s="29"/>
      <c r="C132" s="29"/>
      <c r="D132" s="29"/>
      <c r="E132" s="30"/>
      <c r="F132" s="32"/>
      <c r="G132" s="3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32"/>
      <c r="B133" s="29"/>
      <c r="C133" s="29"/>
      <c r="D133" s="29"/>
      <c r="E133" s="30"/>
      <c r="F133" s="32"/>
      <c r="G133" s="3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32"/>
      <c r="B134" s="29"/>
      <c r="C134" s="29"/>
      <c r="D134" s="29"/>
      <c r="E134" s="30"/>
      <c r="F134" s="32"/>
      <c r="G134" s="3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32"/>
      <c r="B135" s="29"/>
      <c r="C135" s="29"/>
      <c r="D135" s="29"/>
      <c r="E135" s="30"/>
      <c r="F135" s="32"/>
      <c r="G135" s="3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32"/>
      <c r="B136" s="29"/>
      <c r="C136" s="29"/>
      <c r="D136" s="29"/>
      <c r="E136" s="30"/>
      <c r="F136" s="32"/>
      <c r="G136" s="3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32"/>
      <c r="B137" s="29"/>
      <c r="C137" s="29"/>
      <c r="D137" s="29"/>
      <c r="E137" s="30"/>
      <c r="F137" s="32"/>
      <c r="G137" s="3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32"/>
      <c r="B138" s="29"/>
      <c r="C138" s="29"/>
      <c r="D138" s="29"/>
      <c r="E138" s="30"/>
      <c r="F138" s="32"/>
      <c r="G138" s="3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32"/>
      <c r="B139" s="29"/>
      <c r="C139" s="29"/>
      <c r="D139" s="29"/>
      <c r="E139" s="30"/>
      <c r="F139" s="32"/>
      <c r="G139" s="3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32"/>
      <c r="B140" s="29"/>
      <c r="C140" s="29"/>
      <c r="D140" s="29"/>
      <c r="E140" s="30"/>
      <c r="F140" s="32"/>
      <c r="G140" s="3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32"/>
      <c r="B141" s="29"/>
      <c r="C141" s="29"/>
      <c r="D141" s="29"/>
      <c r="E141" s="30"/>
      <c r="F141" s="32"/>
      <c r="G141" s="3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32"/>
      <c r="B142" s="29"/>
      <c r="C142" s="29"/>
      <c r="D142" s="29"/>
      <c r="E142" s="30"/>
      <c r="F142" s="32"/>
      <c r="G142" s="3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32"/>
      <c r="B143" s="29"/>
      <c r="C143" s="29"/>
      <c r="D143" s="29"/>
      <c r="E143" s="30"/>
      <c r="F143" s="32"/>
      <c r="G143" s="3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32"/>
      <c r="B144" s="29"/>
      <c r="C144" s="29"/>
      <c r="D144" s="29"/>
      <c r="E144" s="30"/>
      <c r="F144" s="32"/>
      <c r="G144" s="3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32"/>
      <c r="B145" s="29"/>
      <c r="C145" s="29"/>
      <c r="D145" s="29"/>
      <c r="E145" s="30"/>
      <c r="F145" s="32"/>
      <c r="G145" s="3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32"/>
      <c r="B146" s="29"/>
      <c r="C146" s="29"/>
      <c r="D146" s="29"/>
      <c r="E146" s="30"/>
      <c r="F146" s="32"/>
      <c r="G146" s="3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32"/>
      <c r="B147" s="29"/>
      <c r="C147" s="29"/>
      <c r="D147" s="29"/>
      <c r="E147" s="30"/>
      <c r="F147" s="32"/>
      <c r="G147" s="3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32"/>
      <c r="B148" s="29"/>
      <c r="C148" s="29"/>
      <c r="D148" s="29"/>
      <c r="E148" s="30"/>
      <c r="F148" s="32"/>
      <c r="G148" s="3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32"/>
      <c r="B149" s="29"/>
      <c r="C149" s="29"/>
      <c r="D149" s="29"/>
      <c r="E149" s="30"/>
      <c r="F149" s="32"/>
      <c r="G149" s="3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32"/>
      <c r="B150" s="29"/>
      <c r="C150" s="29"/>
      <c r="D150" s="29"/>
      <c r="E150" s="30"/>
      <c r="F150" s="32"/>
      <c r="G150" s="3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32"/>
      <c r="B151" s="29"/>
      <c r="C151" s="29"/>
      <c r="D151" s="29"/>
      <c r="E151" s="30"/>
      <c r="F151" s="32"/>
      <c r="G151" s="3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32"/>
      <c r="B152" s="29"/>
      <c r="C152" s="29"/>
      <c r="D152" s="29"/>
      <c r="E152" s="30"/>
      <c r="F152" s="32"/>
      <c r="G152" s="3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32"/>
      <c r="B153" s="29"/>
      <c r="C153" s="29"/>
      <c r="D153" s="29"/>
      <c r="E153" s="30"/>
      <c r="F153" s="32"/>
      <c r="G153" s="3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32"/>
      <c r="B154" s="29"/>
      <c r="C154" s="29"/>
      <c r="D154" s="29"/>
      <c r="E154" s="30"/>
      <c r="F154" s="32"/>
      <c r="G154" s="3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32"/>
      <c r="B155" s="29"/>
      <c r="C155" s="29"/>
      <c r="D155" s="29"/>
      <c r="E155" s="30"/>
      <c r="F155" s="32"/>
      <c r="G155" s="3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32"/>
      <c r="B156" s="29"/>
      <c r="C156" s="29"/>
      <c r="D156" s="29"/>
      <c r="E156" s="30"/>
      <c r="F156" s="32"/>
      <c r="G156" s="3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32"/>
      <c r="B157" s="29"/>
      <c r="C157" s="29"/>
      <c r="D157" s="29"/>
      <c r="E157" s="30"/>
      <c r="F157" s="32"/>
      <c r="G157" s="3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32"/>
      <c r="B158" s="29"/>
      <c r="C158" s="29"/>
      <c r="D158" s="29"/>
      <c r="E158" s="30"/>
      <c r="F158" s="32"/>
      <c r="G158" s="3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32"/>
      <c r="B159" s="29"/>
      <c r="C159" s="29"/>
      <c r="D159" s="29"/>
      <c r="E159" s="30"/>
      <c r="F159" s="32"/>
      <c r="G159" s="3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32"/>
      <c r="B160" s="29"/>
      <c r="C160" s="29"/>
      <c r="D160" s="29"/>
      <c r="E160" s="30"/>
      <c r="F160" s="32"/>
      <c r="G160" s="3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32"/>
      <c r="B161" s="29"/>
      <c r="C161" s="29"/>
      <c r="D161" s="29"/>
      <c r="E161" s="30"/>
      <c r="F161" s="32"/>
      <c r="G161" s="3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32"/>
      <c r="B162" s="29"/>
      <c r="C162" s="29"/>
      <c r="D162" s="29"/>
      <c r="E162" s="30"/>
      <c r="F162" s="32"/>
      <c r="G162" s="3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32"/>
      <c r="B163" s="29"/>
      <c r="C163" s="29"/>
      <c r="D163" s="29"/>
      <c r="E163" s="30"/>
      <c r="F163" s="32"/>
      <c r="G163" s="3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32"/>
      <c r="B164" s="29"/>
      <c r="C164" s="29"/>
      <c r="D164" s="29"/>
      <c r="E164" s="30"/>
      <c r="F164" s="32"/>
      <c r="G164" s="3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32"/>
      <c r="B165" s="29"/>
      <c r="C165" s="29"/>
      <c r="D165" s="29"/>
      <c r="E165" s="30"/>
      <c r="F165" s="32"/>
      <c r="G165" s="3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32"/>
      <c r="B166" s="29"/>
      <c r="C166" s="29"/>
      <c r="D166" s="29"/>
      <c r="E166" s="30"/>
      <c r="F166" s="32"/>
      <c r="G166" s="3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32"/>
      <c r="B167" s="29"/>
      <c r="C167" s="29"/>
      <c r="D167" s="29"/>
      <c r="E167" s="30"/>
      <c r="F167" s="32"/>
      <c r="G167" s="3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32"/>
      <c r="B168" s="29"/>
      <c r="C168" s="29"/>
      <c r="D168" s="29"/>
      <c r="E168" s="30"/>
      <c r="F168" s="32"/>
      <c r="G168" s="3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32"/>
      <c r="B169" s="29"/>
      <c r="C169" s="29"/>
      <c r="D169" s="29"/>
      <c r="E169" s="30"/>
      <c r="F169" s="32"/>
      <c r="G169" s="3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32"/>
      <c r="B170" s="29"/>
      <c r="C170" s="29"/>
      <c r="D170" s="29"/>
      <c r="E170" s="30"/>
      <c r="F170" s="32"/>
      <c r="G170" s="30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32"/>
      <c r="B171" s="29"/>
      <c r="C171" s="29"/>
      <c r="D171" s="29"/>
      <c r="E171" s="30"/>
      <c r="F171" s="32"/>
      <c r="G171" s="3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32"/>
      <c r="B172" s="29"/>
      <c r="C172" s="29"/>
      <c r="D172" s="29"/>
      <c r="E172" s="30"/>
      <c r="F172" s="32"/>
      <c r="G172" s="3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32"/>
      <c r="B173" s="29"/>
      <c r="C173" s="29"/>
      <c r="D173" s="29"/>
      <c r="E173" s="30"/>
      <c r="F173" s="32"/>
      <c r="G173" s="3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32"/>
      <c r="B174" s="29"/>
      <c r="C174" s="29"/>
      <c r="D174" s="29"/>
      <c r="E174" s="30"/>
      <c r="F174" s="32"/>
      <c r="G174" s="3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32"/>
      <c r="B175" s="29"/>
      <c r="C175" s="29"/>
      <c r="D175" s="29"/>
      <c r="E175" s="30"/>
      <c r="F175" s="32"/>
      <c r="G175" s="3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32"/>
      <c r="B176" s="29"/>
      <c r="C176" s="29"/>
      <c r="D176" s="29"/>
      <c r="E176" s="30"/>
      <c r="F176" s="32"/>
      <c r="G176" s="3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32"/>
      <c r="B177" s="29"/>
      <c r="C177" s="29"/>
      <c r="D177" s="29"/>
      <c r="E177" s="30"/>
      <c r="F177" s="32"/>
      <c r="G177" s="3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32"/>
      <c r="B178" s="29"/>
      <c r="C178" s="29"/>
      <c r="D178" s="29"/>
      <c r="E178" s="30"/>
      <c r="F178" s="32"/>
      <c r="G178" s="30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32"/>
      <c r="B179" s="29"/>
      <c r="C179" s="29"/>
      <c r="D179" s="29"/>
      <c r="E179" s="30"/>
      <c r="F179" s="32"/>
      <c r="G179" s="3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32"/>
      <c r="B180" s="29"/>
      <c r="C180" s="29"/>
      <c r="D180" s="29"/>
      <c r="E180" s="30"/>
      <c r="F180" s="32"/>
      <c r="G180" s="30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32"/>
      <c r="B181" s="29"/>
      <c r="C181" s="29"/>
      <c r="D181" s="29"/>
      <c r="E181" s="30"/>
      <c r="F181" s="32"/>
      <c r="G181" s="3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32"/>
      <c r="B182" s="29"/>
      <c r="C182" s="29"/>
      <c r="D182" s="29"/>
      <c r="E182" s="30"/>
      <c r="F182" s="32"/>
      <c r="G182" s="3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32"/>
      <c r="B183" s="29"/>
      <c r="C183" s="29"/>
      <c r="D183" s="29"/>
      <c r="E183" s="30"/>
      <c r="F183" s="32"/>
      <c r="G183" s="3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32"/>
      <c r="B184" s="29"/>
      <c r="C184" s="29"/>
      <c r="D184" s="29"/>
      <c r="E184" s="30"/>
      <c r="F184" s="32"/>
      <c r="G184" s="30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32"/>
      <c r="B185" s="29"/>
      <c r="C185" s="29"/>
      <c r="D185" s="29"/>
      <c r="E185" s="30"/>
      <c r="F185" s="32"/>
      <c r="G185" s="3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32"/>
      <c r="B186" s="29"/>
      <c r="C186" s="29"/>
      <c r="D186" s="29"/>
      <c r="E186" s="30"/>
      <c r="F186" s="32"/>
      <c r="G186" s="3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32"/>
      <c r="B187" s="29"/>
      <c r="C187" s="29"/>
      <c r="D187" s="29"/>
      <c r="E187" s="30"/>
      <c r="F187" s="32"/>
      <c r="G187" s="3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32"/>
      <c r="B188" s="29"/>
      <c r="C188" s="29"/>
      <c r="D188" s="29"/>
      <c r="E188" s="30"/>
      <c r="F188" s="32"/>
      <c r="G188" s="3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32"/>
      <c r="B189" s="29"/>
      <c r="C189" s="29"/>
      <c r="D189" s="29"/>
      <c r="E189" s="30"/>
      <c r="F189" s="32"/>
      <c r="G189" s="3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32"/>
      <c r="B190" s="29"/>
      <c r="C190" s="29"/>
      <c r="D190" s="29"/>
      <c r="E190" s="30"/>
      <c r="F190" s="32"/>
      <c r="G190" s="3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32"/>
      <c r="B191" s="29"/>
      <c r="C191" s="29"/>
      <c r="D191" s="29"/>
      <c r="E191" s="30"/>
      <c r="F191" s="32"/>
      <c r="G191" s="3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32"/>
      <c r="B192" s="29"/>
      <c r="C192" s="29"/>
      <c r="D192" s="29"/>
      <c r="E192" s="30"/>
      <c r="F192" s="32"/>
      <c r="G192" s="3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32"/>
      <c r="B193" s="29"/>
      <c r="C193" s="29"/>
      <c r="D193" s="29"/>
      <c r="E193" s="30"/>
      <c r="F193" s="32"/>
      <c r="G193" s="3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32"/>
      <c r="B194" s="29"/>
      <c r="C194" s="29"/>
      <c r="D194" s="29"/>
      <c r="E194" s="30"/>
      <c r="F194" s="32"/>
      <c r="G194" s="3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32"/>
      <c r="B195" s="29"/>
      <c r="C195" s="29"/>
      <c r="D195" s="29"/>
      <c r="E195" s="30"/>
      <c r="F195" s="32"/>
      <c r="G195" s="3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32"/>
      <c r="B196" s="29"/>
      <c r="C196" s="29"/>
      <c r="D196" s="29"/>
      <c r="E196" s="30"/>
      <c r="F196" s="32"/>
      <c r="G196" s="3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32"/>
      <c r="B197" s="29"/>
      <c r="C197" s="29"/>
      <c r="D197" s="29"/>
      <c r="E197" s="30"/>
      <c r="F197" s="32"/>
      <c r="G197" s="3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32"/>
      <c r="B198" s="29"/>
      <c r="C198" s="29"/>
      <c r="D198" s="29"/>
      <c r="E198" s="30"/>
      <c r="F198" s="32"/>
      <c r="G198" s="3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32"/>
      <c r="B199" s="29"/>
      <c r="C199" s="29"/>
      <c r="D199" s="29"/>
      <c r="E199" s="30"/>
      <c r="F199" s="32"/>
      <c r="G199" s="3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32"/>
      <c r="B200" s="29"/>
      <c r="C200" s="29"/>
      <c r="D200" s="29"/>
      <c r="E200" s="30"/>
      <c r="F200" s="32"/>
      <c r="G200" s="3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32"/>
      <c r="B201" s="29"/>
      <c r="C201" s="29"/>
      <c r="D201" s="29"/>
      <c r="E201" s="30"/>
      <c r="F201" s="32"/>
      <c r="G201" s="3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32"/>
      <c r="B202" s="29"/>
      <c r="C202" s="29"/>
      <c r="D202" s="29"/>
      <c r="E202" s="30"/>
      <c r="F202" s="32"/>
      <c r="G202" s="3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32"/>
      <c r="B203" s="29"/>
      <c r="C203" s="29"/>
      <c r="D203" s="29"/>
      <c r="E203" s="30"/>
      <c r="F203" s="32"/>
      <c r="G203" s="3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32"/>
      <c r="B204" s="29"/>
      <c r="C204" s="29"/>
      <c r="D204" s="29"/>
      <c r="E204" s="30"/>
      <c r="F204" s="32"/>
      <c r="G204" s="3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32"/>
      <c r="B205" s="29"/>
      <c r="C205" s="29"/>
      <c r="D205" s="29"/>
      <c r="E205" s="30"/>
      <c r="F205" s="32"/>
      <c r="G205" s="3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32"/>
      <c r="B206" s="29"/>
      <c r="C206" s="29"/>
      <c r="D206" s="29"/>
      <c r="E206" s="30"/>
      <c r="F206" s="32"/>
      <c r="G206" s="3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32"/>
      <c r="B207" s="29"/>
      <c r="C207" s="29"/>
      <c r="D207" s="29"/>
      <c r="E207" s="30"/>
      <c r="F207" s="32"/>
      <c r="G207" s="3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32"/>
      <c r="B208" s="29"/>
      <c r="C208" s="29"/>
      <c r="D208" s="29"/>
      <c r="E208" s="30"/>
      <c r="F208" s="32"/>
      <c r="G208" s="3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32"/>
      <c r="B209" s="29"/>
      <c r="C209" s="29"/>
      <c r="D209" s="29"/>
      <c r="E209" s="30"/>
      <c r="F209" s="32"/>
      <c r="G209" s="3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32"/>
      <c r="B210" s="29"/>
      <c r="C210" s="29"/>
      <c r="D210" s="29"/>
      <c r="E210" s="30"/>
      <c r="F210" s="32"/>
      <c r="G210" s="3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32"/>
      <c r="B211" s="29"/>
      <c r="C211" s="29"/>
      <c r="D211" s="29"/>
      <c r="E211" s="30"/>
      <c r="F211" s="32"/>
      <c r="G211" s="3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32"/>
      <c r="B212" s="29"/>
      <c r="C212" s="29"/>
      <c r="D212" s="29"/>
      <c r="E212" s="30"/>
      <c r="F212" s="32"/>
      <c r="G212" s="3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32"/>
      <c r="B213" s="29"/>
      <c r="C213" s="29"/>
      <c r="D213" s="29"/>
      <c r="E213" s="30"/>
      <c r="F213" s="32"/>
      <c r="G213" s="3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32"/>
      <c r="B214" s="29"/>
      <c r="C214" s="29"/>
      <c r="D214" s="29"/>
      <c r="E214" s="30"/>
      <c r="F214" s="32"/>
      <c r="G214" s="3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32"/>
      <c r="B215" s="29"/>
      <c r="C215" s="29"/>
      <c r="D215" s="29"/>
      <c r="E215" s="30"/>
      <c r="F215" s="32"/>
      <c r="G215" s="3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32"/>
      <c r="B216" s="29"/>
      <c r="C216" s="29"/>
      <c r="D216" s="29"/>
      <c r="E216" s="30"/>
      <c r="F216" s="32"/>
      <c r="G216" s="3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32"/>
      <c r="B217" s="29"/>
      <c r="C217" s="29"/>
      <c r="D217" s="29"/>
      <c r="E217" s="30"/>
      <c r="F217" s="32"/>
      <c r="G217" s="3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32"/>
      <c r="B218" s="29"/>
      <c r="C218" s="29"/>
      <c r="D218" s="29"/>
      <c r="E218" s="30"/>
      <c r="F218" s="32"/>
      <c r="G218" s="3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32"/>
      <c r="B219" s="29"/>
      <c r="C219" s="29"/>
      <c r="D219" s="29"/>
      <c r="E219" s="30"/>
      <c r="F219" s="32"/>
      <c r="G219" s="3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32"/>
      <c r="B220" s="29"/>
      <c r="C220" s="29"/>
      <c r="D220" s="29"/>
      <c r="E220" s="30"/>
      <c r="F220" s="32"/>
      <c r="G220" s="3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32"/>
      <c r="B221" s="29"/>
      <c r="C221" s="29"/>
      <c r="D221" s="29"/>
      <c r="E221" s="30"/>
      <c r="F221" s="32"/>
      <c r="G221" s="3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32"/>
      <c r="B222" s="29"/>
      <c r="C222" s="29"/>
      <c r="D222" s="29"/>
      <c r="E222" s="30"/>
      <c r="F222" s="32"/>
      <c r="G222" s="3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32"/>
      <c r="B223" s="29"/>
      <c r="C223" s="29"/>
      <c r="D223" s="29"/>
      <c r="E223" s="30"/>
      <c r="F223" s="32"/>
      <c r="G223" s="3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32"/>
      <c r="B224" s="29"/>
      <c r="C224" s="29"/>
      <c r="D224" s="29"/>
      <c r="E224" s="30"/>
      <c r="F224" s="32"/>
      <c r="G224" s="3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32"/>
      <c r="B225" s="29"/>
      <c r="C225" s="29"/>
      <c r="D225" s="29"/>
      <c r="E225" s="30"/>
      <c r="F225" s="32"/>
      <c r="G225" s="3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32"/>
      <c r="B226" s="29"/>
      <c r="C226" s="29"/>
      <c r="D226" s="29"/>
      <c r="E226" s="30"/>
      <c r="F226" s="32"/>
      <c r="G226" s="3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32"/>
      <c r="B227" s="29"/>
      <c r="C227" s="29"/>
      <c r="D227" s="29"/>
      <c r="E227" s="30"/>
      <c r="F227" s="32"/>
      <c r="G227" s="3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32"/>
      <c r="B228" s="29"/>
      <c r="C228" s="29"/>
      <c r="D228" s="29"/>
      <c r="E228" s="30"/>
      <c r="F228" s="32"/>
      <c r="G228" s="3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32"/>
      <c r="B229" s="29"/>
      <c r="C229" s="29"/>
      <c r="D229" s="29"/>
      <c r="E229" s="30"/>
      <c r="F229" s="32"/>
      <c r="G229" s="3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32"/>
      <c r="B230" s="29"/>
      <c r="C230" s="29"/>
      <c r="D230" s="29"/>
      <c r="E230" s="30"/>
      <c r="F230" s="32"/>
      <c r="G230" s="3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32"/>
      <c r="B231" s="29"/>
      <c r="C231" s="29"/>
      <c r="D231" s="29"/>
      <c r="E231" s="30"/>
      <c r="F231" s="32"/>
      <c r="G231" s="3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32"/>
      <c r="B232" s="29"/>
      <c r="C232" s="29"/>
      <c r="D232" s="29"/>
      <c r="E232" s="30"/>
      <c r="F232" s="32"/>
      <c r="G232" s="3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32"/>
      <c r="B233" s="29"/>
      <c r="C233" s="29"/>
      <c r="D233" s="29"/>
      <c r="E233" s="30"/>
      <c r="F233" s="32"/>
      <c r="G233" s="3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32"/>
      <c r="B234" s="29"/>
      <c r="C234" s="29"/>
      <c r="D234" s="29"/>
      <c r="E234" s="30"/>
      <c r="F234" s="32"/>
      <c r="G234" s="3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32"/>
      <c r="B235" s="29"/>
      <c r="C235" s="29"/>
      <c r="D235" s="29"/>
      <c r="E235" s="30"/>
      <c r="F235" s="32"/>
      <c r="G235" s="3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32"/>
      <c r="B236" s="29"/>
      <c r="C236" s="29"/>
      <c r="D236" s="29"/>
      <c r="E236" s="30"/>
      <c r="F236" s="32"/>
      <c r="G236" s="3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32"/>
      <c r="B237" s="29"/>
      <c r="C237" s="29"/>
      <c r="D237" s="29"/>
      <c r="E237" s="30"/>
      <c r="F237" s="32"/>
      <c r="G237" s="3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32"/>
      <c r="B238" s="29"/>
      <c r="C238" s="29"/>
      <c r="D238" s="29"/>
      <c r="E238" s="30"/>
      <c r="F238" s="32"/>
      <c r="G238" s="3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32"/>
      <c r="B239" s="29"/>
      <c r="C239" s="29"/>
      <c r="D239" s="29"/>
      <c r="E239" s="30"/>
      <c r="F239" s="32"/>
      <c r="G239" s="3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32"/>
      <c r="B240" s="29"/>
      <c r="C240" s="29"/>
      <c r="D240" s="29"/>
      <c r="E240" s="30"/>
      <c r="F240" s="32"/>
      <c r="G240" s="3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32"/>
      <c r="B241" s="29"/>
      <c r="C241" s="29"/>
      <c r="D241" s="29"/>
      <c r="E241" s="30"/>
      <c r="F241" s="32"/>
      <c r="G241" s="3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32"/>
      <c r="B242" s="29"/>
      <c r="C242" s="29"/>
      <c r="D242" s="29"/>
      <c r="E242" s="30"/>
      <c r="F242" s="32"/>
      <c r="G242" s="3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32"/>
      <c r="B243" s="29"/>
      <c r="C243" s="29"/>
      <c r="D243" s="29"/>
      <c r="E243" s="30"/>
      <c r="F243" s="32"/>
      <c r="G243" s="3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32"/>
      <c r="B244" s="29"/>
      <c r="C244" s="29"/>
      <c r="D244" s="29"/>
      <c r="E244" s="30"/>
      <c r="F244" s="32"/>
      <c r="G244" s="3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32"/>
      <c r="B245" s="29"/>
      <c r="C245" s="29"/>
      <c r="D245" s="29"/>
      <c r="E245" s="30"/>
      <c r="F245" s="32"/>
      <c r="G245" s="3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32"/>
      <c r="B246" s="29"/>
      <c r="C246" s="29"/>
      <c r="D246" s="29"/>
      <c r="E246" s="30"/>
      <c r="F246" s="32"/>
      <c r="G246" s="3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32"/>
      <c r="B247" s="29"/>
      <c r="C247" s="29"/>
      <c r="D247" s="29"/>
      <c r="E247" s="30"/>
      <c r="F247" s="32"/>
      <c r="G247" s="3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32"/>
      <c r="B248" s="29"/>
      <c r="C248" s="29"/>
      <c r="D248" s="29"/>
      <c r="E248" s="30"/>
      <c r="F248" s="32"/>
      <c r="G248" s="3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32"/>
      <c r="B249" s="29"/>
      <c r="C249" s="29"/>
      <c r="D249" s="29"/>
      <c r="E249" s="30"/>
      <c r="F249" s="32"/>
      <c r="G249" s="3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32"/>
      <c r="B250" s="29"/>
      <c r="C250" s="29"/>
      <c r="D250" s="29"/>
      <c r="E250" s="30"/>
      <c r="F250" s="32"/>
      <c r="G250" s="3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32"/>
      <c r="B251" s="29"/>
      <c r="C251" s="29"/>
      <c r="D251" s="29"/>
      <c r="E251" s="30"/>
      <c r="F251" s="32"/>
      <c r="G251" s="3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32"/>
      <c r="B252" s="29"/>
      <c r="C252" s="29"/>
      <c r="D252" s="29"/>
      <c r="E252" s="30"/>
      <c r="F252" s="32"/>
      <c r="G252" s="3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32"/>
      <c r="B253" s="29"/>
      <c r="C253" s="29"/>
      <c r="D253" s="29"/>
      <c r="E253" s="30"/>
      <c r="F253" s="32"/>
      <c r="G253" s="3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32"/>
      <c r="B254" s="29"/>
      <c r="C254" s="29"/>
      <c r="D254" s="29"/>
      <c r="E254" s="30"/>
      <c r="F254" s="32"/>
      <c r="G254" s="3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32"/>
      <c r="B255" s="29"/>
      <c r="C255" s="29"/>
      <c r="D255" s="29"/>
      <c r="E255" s="30"/>
      <c r="F255" s="32"/>
      <c r="G255" s="3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32"/>
      <c r="B256" s="29"/>
      <c r="C256" s="29"/>
      <c r="D256" s="29"/>
      <c r="E256" s="30"/>
      <c r="F256" s="32"/>
      <c r="G256" s="3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32"/>
      <c r="B257" s="29"/>
      <c r="C257" s="29"/>
      <c r="D257" s="29"/>
      <c r="E257" s="30"/>
      <c r="F257" s="32"/>
      <c r="G257" s="3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32"/>
      <c r="B258" s="29"/>
      <c r="C258" s="29"/>
      <c r="D258" s="29"/>
      <c r="E258" s="30"/>
      <c r="F258" s="32"/>
      <c r="G258" s="3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32"/>
      <c r="B259" s="29"/>
      <c r="C259" s="29"/>
      <c r="D259" s="29"/>
      <c r="E259" s="30"/>
      <c r="F259" s="32"/>
      <c r="G259" s="3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32"/>
      <c r="B260" s="29"/>
      <c r="C260" s="29"/>
      <c r="D260" s="29"/>
      <c r="E260" s="30"/>
      <c r="F260" s="32"/>
      <c r="G260" s="3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32"/>
      <c r="B261" s="29"/>
      <c r="C261" s="29"/>
      <c r="D261" s="29"/>
      <c r="E261" s="30"/>
      <c r="F261" s="32"/>
      <c r="G261" s="3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32"/>
      <c r="B262" s="29"/>
      <c r="C262" s="29"/>
      <c r="D262" s="29"/>
      <c r="E262" s="30"/>
      <c r="F262" s="32"/>
      <c r="G262" s="3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32"/>
      <c r="B263" s="29"/>
      <c r="C263" s="29"/>
      <c r="D263" s="29"/>
      <c r="E263" s="30"/>
      <c r="F263" s="32"/>
      <c r="G263" s="3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32"/>
      <c r="B264" s="29"/>
      <c r="C264" s="29"/>
      <c r="D264" s="29"/>
      <c r="E264" s="30"/>
      <c r="F264" s="32"/>
      <c r="G264" s="3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32"/>
      <c r="B265" s="29"/>
      <c r="C265" s="29"/>
      <c r="D265" s="29"/>
      <c r="E265" s="30"/>
      <c r="F265" s="32"/>
      <c r="G265" s="3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32"/>
      <c r="B266" s="29"/>
      <c r="C266" s="29"/>
      <c r="D266" s="29"/>
      <c r="E266" s="30"/>
      <c r="F266" s="32"/>
      <c r="G266" s="3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32"/>
      <c r="B267" s="29"/>
      <c r="C267" s="29"/>
      <c r="D267" s="29"/>
      <c r="E267" s="30"/>
      <c r="F267" s="32"/>
      <c r="G267" s="3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32"/>
      <c r="B268" s="29"/>
      <c r="C268" s="29"/>
      <c r="D268" s="29"/>
      <c r="E268" s="30"/>
      <c r="F268" s="32"/>
      <c r="G268" s="3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32"/>
      <c r="B269" s="29"/>
      <c r="C269" s="29"/>
      <c r="D269" s="29"/>
      <c r="E269" s="30"/>
      <c r="F269" s="32"/>
      <c r="G269" s="3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32"/>
      <c r="B270" s="29"/>
      <c r="C270" s="29"/>
      <c r="D270" s="29"/>
      <c r="E270" s="30"/>
      <c r="F270" s="32"/>
      <c r="G270" s="3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32"/>
      <c r="B271" s="29"/>
      <c r="C271" s="29"/>
      <c r="D271" s="29"/>
      <c r="E271" s="30"/>
      <c r="F271" s="32"/>
      <c r="G271" s="3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32"/>
      <c r="B272" s="29"/>
      <c r="C272" s="29"/>
      <c r="D272" s="29"/>
      <c r="E272" s="30"/>
      <c r="F272" s="32"/>
      <c r="G272" s="3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32"/>
      <c r="B273" s="29"/>
      <c r="C273" s="29"/>
      <c r="D273" s="29"/>
      <c r="E273" s="30"/>
      <c r="F273" s="32"/>
      <c r="G273" s="3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32"/>
      <c r="B274" s="29"/>
      <c r="C274" s="29"/>
      <c r="D274" s="29"/>
      <c r="E274" s="30"/>
      <c r="F274" s="32"/>
      <c r="G274" s="3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32"/>
      <c r="B275" s="29"/>
      <c r="C275" s="29"/>
      <c r="D275" s="29"/>
      <c r="E275" s="30"/>
      <c r="F275" s="32"/>
      <c r="G275" s="3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32"/>
      <c r="B276" s="29"/>
      <c r="C276" s="29"/>
      <c r="D276" s="29"/>
      <c r="E276" s="30"/>
      <c r="F276" s="32"/>
      <c r="G276" s="3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32"/>
      <c r="B277" s="29"/>
      <c r="C277" s="29"/>
      <c r="D277" s="29"/>
      <c r="E277" s="30"/>
      <c r="F277" s="32"/>
      <c r="G277" s="3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32"/>
      <c r="B278" s="29"/>
      <c r="C278" s="29"/>
      <c r="D278" s="29"/>
      <c r="E278" s="30"/>
      <c r="F278" s="32"/>
      <c r="G278" s="3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32"/>
      <c r="B279" s="29"/>
      <c r="C279" s="29"/>
      <c r="D279" s="29"/>
      <c r="E279" s="30"/>
      <c r="F279" s="32"/>
      <c r="G279" s="3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32"/>
      <c r="B280" s="29"/>
      <c r="C280" s="29"/>
      <c r="D280" s="29"/>
      <c r="E280" s="30"/>
      <c r="F280" s="32"/>
      <c r="G280" s="3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32"/>
      <c r="B281" s="29"/>
      <c r="C281" s="29"/>
      <c r="D281" s="29"/>
      <c r="E281" s="30"/>
      <c r="F281" s="32"/>
      <c r="G281" s="3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32"/>
      <c r="B282" s="29"/>
      <c r="C282" s="29"/>
      <c r="D282" s="29"/>
      <c r="E282" s="30"/>
      <c r="F282" s="32"/>
      <c r="G282" s="3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32"/>
      <c r="B283" s="29"/>
      <c r="C283" s="29"/>
      <c r="D283" s="29"/>
      <c r="E283" s="30"/>
      <c r="F283" s="32"/>
      <c r="G283" s="3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32"/>
      <c r="B284" s="29"/>
      <c r="C284" s="29"/>
      <c r="D284" s="29"/>
      <c r="E284" s="30"/>
      <c r="F284" s="32"/>
      <c r="G284" s="3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32"/>
      <c r="B285" s="29"/>
      <c r="C285" s="29"/>
      <c r="D285" s="29"/>
      <c r="E285" s="30"/>
      <c r="F285" s="32"/>
      <c r="G285" s="3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32"/>
      <c r="B286" s="29"/>
      <c r="C286" s="29"/>
      <c r="D286" s="29"/>
      <c r="E286" s="30"/>
      <c r="F286" s="32"/>
      <c r="G286" s="3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32"/>
      <c r="B287" s="29"/>
      <c r="C287" s="29"/>
      <c r="D287" s="29"/>
      <c r="E287" s="30"/>
      <c r="F287" s="32"/>
      <c r="G287" s="3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32"/>
      <c r="B288" s="29"/>
      <c r="C288" s="29"/>
      <c r="D288" s="29"/>
      <c r="E288" s="30"/>
      <c r="F288" s="32"/>
      <c r="G288" s="3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32"/>
      <c r="B289" s="29"/>
      <c r="C289" s="29"/>
      <c r="D289" s="29"/>
      <c r="E289" s="30"/>
      <c r="F289" s="32"/>
      <c r="G289" s="3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32"/>
      <c r="B290" s="29"/>
      <c r="C290" s="29"/>
      <c r="D290" s="29"/>
      <c r="E290" s="30"/>
      <c r="F290" s="32"/>
      <c r="G290" s="3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32"/>
      <c r="B291" s="29"/>
      <c r="C291" s="29"/>
      <c r="D291" s="29"/>
      <c r="E291" s="30"/>
      <c r="F291" s="32"/>
      <c r="G291" s="3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32"/>
      <c r="B292" s="29"/>
      <c r="C292" s="29"/>
      <c r="D292" s="29"/>
      <c r="E292" s="30"/>
      <c r="F292" s="32"/>
      <c r="G292" s="3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32"/>
      <c r="B293" s="29"/>
      <c r="C293" s="29"/>
      <c r="D293" s="29"/>
      <c r="E293" s="30"/>
      <c r="F293" s="32"/>
      <c r="G293" s="3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32"/>
      <c r="B294" s="29"/>
      <c r="C294" s="29"/>
      <c r="D294" s="29"/>
      <c r="E294" s="30"/>
      <c r="F294" s="32"/>
      <c r="G294" s="3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32"/>
      <c r="B295" s="29"/>
      <c r="C295" s="29"/>
      <c r="D295" s="29"/>
      <c r="E295" s="30"/>
      <c r="F295" s="32"/>
      <c r="G295" s="3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32"/>
      <c r="B296" s="29"/>
      <c r="C296" s="29"/>
      <c r="D296" s="29"/>
      <c r="E296" s="30"/>
      <c r="F296" s="32"/>
      <c r="G296" s="3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32"/>
      <c r="B297" s="29"/>
      <c r="C297" s="29"/>
      <c r="D297" s="29"/>
      <c r="E297" s="30"/>
      <c r="F297" s="32"/>
      <c r="G297" s="3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32"/>
      <c r="B298" s="29"/>
      <c r="C298" s="29"/>
      <c r="D298" s="29"/>
      <c r="E298" s="30"/>
      <c r="F298" s="32"/>
      <c r="G298" s="3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32"/>
      <c r="B299" s="29"/>
      <c r="C299" s="29"/>
      <c r="D299" s="29"/>
      <c r="E299" s="30"/>
      <c r="F299" s="32"/>
      <c r="G299" s="3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32"/>
      <c r="B300" s="29"/>
      <c r="C300" s="29"/>
      <c r="D300" s="29"/>
      <c r="E300" s="30"/>
      <c r="F300" s="32"/>
      <c r="G300" s="3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32"/>
      <c r="B301" s="29"/>
      <c r="C301" s="29"/>
      <c r="D301" s="29"/>
      <c r="E301" s="30"/>
      <c r="F301" s="32"/>
      <c r="G301" s="3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32"/>
      <c r="B302" s="29"/>
      <c r="C302" s="29"/>
      <c r="D302" s="29"/>
      <c r="E302" s="30"/>
      <c r="F302" s="32"/>
      <c r="G302" s="3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32"/>
      <c r="B303" s="29"/>
      <c r="C303" s="29"/>
      <c r="D303" s="29"/>
      <c r="E303" s="30"/>
      <c r="F303" s="32"/>
      <c r="G303" s="3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32"/>
      <c r="B304" s="29"/>
      <c r="C304" s="29"/>
      <c r="D304" s="29"/>
      <c r="E304" s="30"/>
      <c r="F304" s="32"/>
      <c r="G304" s="3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32"/>
      <c r="B305" s="29"/>
      <c r="C305" s="29"/>
      <c r="D305" s="29"/>
      <c r="E305" s="30"/>
      <c r="F305" s="32"/>
      <c r="G305" s="3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32"/>
      <c r="B306" s="29"/>
      <c r="C306" s="29"/>
      <c r="D306" s="29"/>
      <c r="E306" s="30"/>
      <c r="F306" s="32"/>
      <c r="G306" s="3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32"/>
      <c r="B307" s="29"/>
      <c r="C307" s="29"/>
      <c r="D307" s="29"/>
      <c r="E307" s="30"/>
      <c r="F307" s="32"/>
      <c r="G307" s="3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32"/>
      <c r="B308" s="29"/>
      <c r="C308" s="29"/>
      <c r="D308" s="29"/>
      <c r="E308" s="30"/>
      <c r="F308" s="32"/>
      <c r="G308" s="3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32"/>
      <c r="B309" s="29"/>
      <c r="C309" s="29"/>
      <c r="D309" s="29"/>
      <c r="E309" s="30"/>
      <c r="F309" s="32"/>
      <c r="G309" s="3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32"/>
      <c r="B310" s="29"/>
      <c r="C310" s="29"/>
      <c r="D310" s="29"/>
      <c r="E310" s="30"/>
      <c r="F310" s="32"/>
      <c r="G310" s="3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32"/>
      <c r="B311" s="29"/>
      <c r="C311" s="29"/>
      <c r="D311" s="29"/>
      <c r="E311" s="30"/>
      <c r="F311" s="32"/>
      <c r="G311" s="3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32"/>
      <c r="B312" s="29"/>
      <c r="C312" s="29"/>
      <c r="D312" s="29"/>
      <c r="E312" s="30"/>
      <c r="F312" s="32"/>
      <c r="G312" s="3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32"/>
      <c r="B313" s="29"/>
      <c r="C313" s="29"/>
      <c r="D313" s="29"/>
      <c r="E313" s="30"/>
      <c r="F313" s="32"/>
      <c r="G313" s="3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32"/>
      <c r="B314" s="29"/>
      <c r="C314" s="29"/>
      <c r="D314" s="29"/>
      <c r="E314" s="30"/>
      <c r="F314" s="32"/>
      <c r="G314" s="3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32"/>
      <c r="B315" s="29"/>
      <c r="C315" s="29"/>
      <c r="D315" s="29"/>
      <c r="E315" s="30"/>
      <c r="F315" s="32"/>
      <c r="G315" s="3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32"/>
      <c r="B316" s="29"/>
      <c r="C316" s="29"/>
      <c r="D316" s="29"/>
      <c r="E316" s="30"/>
      <c r="F316" s="32"/>
      <c r="G316" s="3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32"/>
      <c r="B317" s="29"/>
      <c r="C317" s="29"/>
      <c r="D317" s="29"/>
      <c r="E317" s="30"/>
      <c r="F317" s="32"/>
      <c r="G317" s="3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32"/>
      <c r="B318" s="29"/>
      <c r="C318" s="29"/>
      <c r="D318" s="29"/>
      <c r="E318" s="30"/>
      <c r="F318" s="32"/>
      <c r="G318" s="3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32"/>
      <c r="B319" s="29"/>
      <c r="C319" s="29"/>
      <c r="D319" s="29"/>
      <c r="E319" s="30"/>
      <c r="F319" s="32"/>
      <c r="G319" s="3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32"/>
      <c r="B320" s="29"/>
      <c r="C320" s="29"/>
      <c r="D320" s="29"/>
      <c r="E320" s="30"/>
      <c r="F320" s="32"/>
      <c r="G320" s="3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32"/>
      <c r="B321" s="29"/>
      <c r="C321" s="29"/>
      <c r="D321" s="29"/>
      <c r="E321" s="30"/>
      <c r="F321" s="32"/>
      <c r="G321" s="3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32"/>
      <c r="B322" s="29"/>
      <c r="C322" s="29"/>
      <c r="D322" s="29"/>
      <c r="E322" s="30"/>
      <c r="F322" s="32"/>
      <c r="G322" s="3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32"/>
      <c r="B323" s="29"/>
      <c r="C323" s="29"/>
      <c r="D323" s="29"/>
      <c r="E323" s="30"/>
      <c r="F323" s="32"/>
      <c r="G323" s="3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32"/>
      <c r="B324" s="29"/>
      <c r="C324" s="29"/>
      <c r="D324" s="29"/>
      <c r="E324" s="30"/>
      <c r="F324" s="32"/>
      <c r="G324" s="3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32"/>
      <c r="B325" s="29"/>
      <c r="C325" s="29"/>
      <c r="D325" s="29"/>
      <c r="E325" s="30"/>
      <c r="F325" s="32"/>
      <c r="G325" s="3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32"/>
      <c r="B326" s="29"/>
      <c r="C326" s="29"/>
      <c r="D326" s="29"/>
      <c r="E326" s="30"/>
      <c r="F326" s="32"/>
      <c r="G326" s="3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32"/>
      <c r="B327" s="29"/>
      <c r="C327" s="29"/>
      <c r="D327" s="29"/>
      <c r="E327" s="30"/>
      <c r="F327" s="32"/>
      <c r="G327" s="3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32"/>
      <c r="B328" s="29"/>
      <c r="C328" s="29"/>
      <c r="D328" s="29"/>
      <c r="E328" s="30"/>
      <c r="F328" s="32"/>
      <c r="G328" s="3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32"/>
      <c r="B329" s="29"/>
      <c r="C329" s="29"/>
      <c r="D329" s="29"/>
      <c r="E329" s="30"/>
      <c r="F329" s="32"/>
      <c r="G329" s="3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32"/>
      <c r="B330" s="29"/>
      <c r="C330" s="29"/>
      <c r="D330" s="29"/>
      <c r="E330" s="30"/>
      <c r="F330" s="32"/>
      <c r="G330" s="3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32"/>
      <c r="B331" s="29"/>
      <c r="C331" s="29"/>
      <c r="D331" s="29"/>
      <c r="E331" s="30"/>
      <c r="F331" s="32"/>
      <c r="G331" s="3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32"/>
      <c r="B332" s="29"/>
      <c r="C332" s="29"/>
      <c r="D332" s="29"/>
      <c r="E332" s="30"/>
      <c r="F332" s="32"/>
      <c r="G332" s="3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32"/>
      <c r="B333" s="29"/>
      <c r="C333" s="29"/>
      <c r="D333" s="29"/>
      <c r="E333" s="30"/>
      <c r="F333" s="32"/>
      <c r="G333" s="3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32"/>
      <c r="B334" s="29"/>
      <c r="C334" s="29"/>
      <c r="D334" s="29"/>
      <c r="E334" s="30"/>
      <c r="F334" s="32"/>
      <c r="G334" s="3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32"/>
      <c r="B335" s="29"/>
      <c r="C335" s="29"/>
      <c r="D335" s="29"/>
      <c r="E335" s="30"/>
      <c r="F335" s="32"/>
      <c r="G335" s="3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32"/>
      <c r="B336" s="29"/>
      <c r="C336" s="29"/>
      <c r="D336" s="29"/>
      <c r="E336" s="30"/>
      <c r="F336" s="32"/>
      <c r="G336" s="3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32"/>
      <c r="B337" s="29"/>
      <c r="C337" s="29"/>
      <c r="D337" s="29"/>
      <c r="E337" s="30"/>
      <c r="F337" s="32"/>
      <c r="G337" s="3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32"/>
      <c r="B338" s="29"/>
      <c r="C338" s="29"/>
      <c r="D338" s="29"/>
      <c r="E338" s="30"/>
      <c r="F338" s="32"/>
      <c r="G338" s="3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32"/>
      <c r="B339" s="29"/>
      <c r="C339" s="29"/>
      <c r="D339" s="29"/>
      <c r="E339" s="30"/>
      <c r="F339" s="32"/>
      <c r="G339" s="3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32"/>
      <c r="B340" s="29"/>
      <c r="C340" s="29"/>
      <c r="D340" s="29"/>
      <c r="E340" s="30"/>
      <c r="F340" s="32"/>
      <c r="G340" s="3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32"/>
      <c r="B341" s="29"/>
      <c r="C341" s="29"/>
      <c r="D341" s="29"/>
      <c r="E341" s="30"/>
      <c r="F341" s="32"/>
      <c r="G341" s="3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32"/>
      <c r="B342" s="29"/>
      <c r="C342" s="29"/>
      <c r="D342" s="29"/>
      <c r="E342" s="30"/>
      <c r="F342" s="32"/>
      <c r="G342" s="3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32"/>
      <c r="B343" s="29"/>
      <c r="C343" s="29"/>
      <c r="D343" s="29"/>
      <c r="E343" s="30"/>
      <c r="F343" s="32"/>
      <c r="G343" s="3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32"/>
      <c r="B344" s="29"/>
      <c r="C344" s="29"/>
      <c r="D344" s="29"/>
      <c r="E344" s="30"/>
      <c r="F344" s="32"/>
      <c r="G344" s="3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32"/>
      <c r="B345" s="29"/>
      <c r="C345" s="29"/>
      <c r="D345" s="29"/>
      <c r="E345" s="30"/>
      <c r="F345" s="32"/>
      <c r="G345" s="3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32"/>
      <c r="B346" s="29"/>
      <c r="C346" s="29"/>
      <c r="D346" s="29"/>
      <c r="E346" s="30"/>
      <c r="F346" s="32"/>
      <c r="G346" s="3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32"/>
      <c r="B347" s="29"/>
      <c r="C347" s="29"/>
      <c r="D347" s="29"/>
      <c r="E347" s="30"/>
      <c r="F347" s="32"/>
      <c r="G347" s="3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32"/>
      <c r="B348" s="29"/>
      <c r="C348" s="29"/>
      <c r="D348" s="29"/>
      <c r="E348" s="30"/>
      <c r="F348" s="32"/>
      <c r="G348" s="3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32"/>
      <c r="B349" s="29"/>
      <c r="C349" s="29"/>
      <c r="D349" s="29"/>
      <c r="E349" s="30"/>
      <c r="F349" s="32"/>
      <c r="G349" s="3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32"/>
      <c r="B350" s="29"/>
      <c r="C350" s="29"/>
      <c r="D350" s="29"/>
      <c r="E350" s="30"/>
      <c r="F350" s="32"/>
      <c r="G350" s="3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32"/>
      <c r="B351" s="29"/>
      <c r="C351" s="29"/>
      <c r="D351" s="29"/>
      <c r="E351" s="30"/>
      <c r="F351" s="32"/>
      <c r="G351" s="3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32"/>
      <c r="B352" s="29"/>
      <c r="C352" s="29"/>
      <c r="D352" s="29"/>
      <c r="E352" s="30"/>
      <c r="F352" s="32"/>
      <c r="G352" s="3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32"/>
      <c r="B353" s="29"/>
      <c r="C353" s="29"/>
      <c r="D353" s="29"/>
      <c r="E353" s="30"/>
      <c r="F353" s="32"/>
      <c r="G353" s="3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32"/>
      <c r="B354" s="29"/>
      <c r="C354" s="29"/>
      <c r="D354" s="29"/>
      <c r="E354" s="30"/>
      <c r="F354" s="32"/>
      <c r="G354" s="3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32"/>
      <c r="B355" s="29"/>
      <c r="C355" s="29"/>
      <c r="D355" s="29"/>
      <c r="E355" s="30"/>
      <c r="F355" s="32"/>
      <c r="G355" s="3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32"/>
      <c r="B356" s="29"/>
      <c r="C356" s="29"/>
      <c r="D356" s="29"/>
      <c r="E356" s="30"/>
      <c r="F356" s="32"/>
      <c r="G356" s="3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32"/>
      <c r="B357" s="29"/>
      <c r="C357" s="29"/>
      <c r="D357" s="29"/>
      <c r="E357" s="30"/>
      <c r="F357" s="32"/>
      <c r="G357" s="3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32"/>
      <c r="B358" s="29"/>
      <c r="C358" s="29"/>
      <c r="D358" s="29"/>
      <c r="E358" s="30"/>
      <c r="F358" s="32"/>
      <c r="G358" s="3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32"/>
      <c r="B359" s="29"/>
      <c r="C359" s="29"/>
      <c r="D359" s="29"/>
      <c r="E359" s="30"/>
      <c r="F359" s="32"/>
      <c r="G359" s="3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32"/>
      <c r="B360" s="29"/>
      <c r="C360" s="29"/>
      <c r="D360" s="29"/>
      <c r="E360" s="30"/>
      <c r="F360" s="32"/>
      <c r="G360" s="3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32"/>
      <c r="B361" s="29"/>
      <c r="C361" s="29"/>
      <c r="D361" s="29"/>
      <c r="E361" s="30"/>
      <c r="F361" s="32"/>
      <c r="G361" s="3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32"/>
      <c r="B362" s="29"/>
      <c r="C362" s="29"/>
      <c r="D362" s="29"/>
      <c r="E362" s="30"/>
      <c r="F362" s="32"/>
      <c r="G362" s="3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32"/>
      <c r="B363" s="29"/>
      <c r="C363" s="29"/>
      <c r="D363" s="29"/>
      <c r="E363" s="30"/>
      <c r="F363" s="32"/>
      <c r="G363" s="3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32"/>
      <c r="B364" s="29"/>
      <c r="C364" s="29"/>
      <c r="D364" s="29"/>
      <c r="E364" s="30"/>
      <c r="F364" s="32"/>
      <c r="G364" s="3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32"/>
      <c r="B365" s="29"/>
      <c r="C365" s="29"/>
      <c r="D365" s="29"/>
      <c r="E365" s="30"/>
      <c r="F365" s="32"/>
      <c r="G365" s="3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32"/>
      <c r="B366" s="29"/>
      <c r="C366" s="29"/>
      <c r="D366" s="29"/>
      <c r="E366" s="30"/>
      <c r="F366" s="32"/>
      <c r="G366" s="3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32"/>
      <c r="B367" s="29"/>
      <c r="C367" s="29"/>
      <c r="D367" s="29"/>
      <c r="E367" s="30"/>
      <c r="F367" s="32"/>
      <c r="G367" s="3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32"/>
      <c r="B368" s="29"/>
      <c r="C368" s="29"/>
      <c r="D368" s="29"/>
      <c r="E368" s="30"/>
      <c r="F368" s="32"/>
      <c r="G368" s="3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32"/>
      <c r="B369" s="29"/>
      <c r="C369" s="29"/>
      <c r="D369" s="29"/>
      <c r="E369" s="30"/>
      <c r="F369" s="32"/>
      <c r="G369" s="3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32"/>
      <c r="B370" s="29"/>
      <c r="C370" s="29"/>
      <c r="D370" s="29"/>
      <c r="E370" s="30"/>
      <c r="F370" s="32"/>
      <c r="G370" s="3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32"/>
      <c r="B371" s="29"/>
      <c r="C371" s="29"/>
      <c r="D371" s="29"/>
      <c r="E371" s="30"/>
      <c r="F371" s="32"/>
      <c r="G371" s="3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32"/>
      <c r="B372" s="29"/>
      <c r="C372" s="29"/>
      <c r="D372" s="29"/>
      <c r="E372" s="30"/>
      <c r="F372" s="32"/>
      <c r="G372" s="3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32"/>
      <c r="B373" s="29"/>
      <c r="C373" s="29"/>
      <c r="D373" s="29"/>
      <c r="E373" s="30"/>
      <c r="F373" s="32"/>
      <c r="G373" s="3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32"/>
      <c r="B374" s="29"/>
      <c r="C374" s="29"/>
      <c r="D374" s="29"/>
      <c r="E374" s="30"/>
      <c r="F374" s="32"/>
      <c r="G374" s="3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32"/>
      <c r="B375" s="29"/>
      <c r="C375" s="29"/>
      <c r="D375" s="29"/>
      <c r="E375" s="30"/>
      <c r="F375" s="32"/>
      <c r="G375" s="3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32"/>
      <c r="B376" s="29"/>
      <c r="C376" s="29"/>
      <c r="D376" s="29"/>
      <c r="E376" s="30"/>
      <c r="F376" s="32"/>
      <c r="G376" s="3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32"/>
      <c r="B377" s="29"/>
      <c r="C377" s="29"/>
      <c r="D377" s="29"/>
      <c r="E377" s="30"/>
      <c r="F377" s="32"/>
      <c r="G377" s="3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32"/>
      <c r="B378" s="29"/>
      <c r="C378" s="29"/>
      <c r="D378" s="29"/>
      <c r="E378" s="30"/>
      <c r="F378" s="32"/>
      <c r="G378" s="3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32"/>
      <c r="B379" s="29"/>
      <c r="C379" s="29"/>
      <c r="D379" s="29"/>
      <c r="E379" s="30"/>
      <c r="F379" s="32"/>
      <c r="G379" s="3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32"/>
      <c r="B380" s="29"/>
      <c r="C380" s="29"/>
      <c r="D380" s="29"/>
      <c r="E380" s="30"/>
      <c r="F380" s="32"/>
      <c r="G380" s="3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32"/>
      <c r="B381" s="29"/>
      <c r="C381" s="29"/>
      <c r="D381" s="29"/>
      <c r="E381" s="30"/>
      <c r="F381" s="32"/>
      <c r="G381" s="3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32"/>
      <c r="B382" s="29"/>
      <c r="C382" s="29"/>
      <c r="D382" s="29"/>
      <c r="E382" s="30"/>
      <c r="F382" s="32"/>
      <c r="G382" s="3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32"/>
      <c r="B383" s="29"/>
      <c r="C383" s="29"/>
      <c r="D383" s="29"/>
      <c r="E383" s="30"/>
      <c r="F383" s="32"/>
      <c r="G383" s="3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32"/>
      <c r="B384" s="29"/>
      <c r="C384" s="29"/>
      <c r="D384" s="29"/>
      <c r="E384" s="30"/>
      <c r="F384" s="32"/>
      <c r="G384" s="3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32"/>
      <c r="B385" s="29"/>
      <c r="C385" s="29"/>
      <c r="D385" s="29"/>
      <c r="E385" s="30"/>
      <c r="F385" s="32"/>
      <c r="G385" s="3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32"/>
      <c r="B386" s="29"/>
      <c r="C386" s="29"/>
      <c r="D386" s="29"/>
      <c r="E386" s="30"/>
      <c r="F386" s="32"/>
      <c r="G386" s="3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32"/>
      <c r="B387" s="29"/>
      <c r="C387" s="29"/>
      <c r="D387" s="29"/>
      <c r="E387" s="30"/>
      <c r="F387" s="32"/>
      <c r="G387" s="3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32"/>
      <c r="B388" s="29"/>
      <c r="C388" s="29"/>
      <c r="D388" s="29"/>
      <c r="E388" s="30"/>
      <c r="F388" s="32"/>
      <c r="G388" s="3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32"/>
      <c r="B389" s="29"/>
      <c r="C389" s="29"/>
      <c r="D389" s="29"/>
      <c r="E389" s="30"/>
      <c r="F389" s="32"/>
      <c r="G389" s="3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32"/>
      <c r="B390" s="29"/>
      <c r="C390" s="29"/>
      <c r="D390" s="29"/>
      <c r="E390" s="30"/>
      <c r="F390" s="32"/>
      <c r="G390" s="3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32"/>
      <c r="B391" s="29"/>
      <c r="C391" s="29"/>
      <c r="D391" s="29"/>
      <c r="E391" s="30"/>
      <c r="F391" s="32"/>
      <c r="G391" s="3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32"/>
      <c r="B392" s="29"/>
      <c r="C392" s="29"/>
      <c r="D392" s="29"/>
      <c r="E392" s="30"/>
      <c r="F392" s="32"/>
      <c r="G392" s="3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32"/>
      <c r="B393" s="29"/>
      <c r="C393" s="29"/>
      <c r="D393" s="29"/>
      <c r="E393" s="30"/>
      <c r="F393" s="32"/>
      <c r="G393" s="3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32"/>
      <c r="B394" s="29"/>
      <c r="C394" s="29"/>
      <c r="D394" s="29"/>
      <c r="E394" s="30"/>
      <c r="F394" s="32"/>
      <c r="G394" s="3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32"/>
      <c r="B395" s="29"/>
      <c r="C395" s="29"/>
      <c r="D395" s="29"/>
      <c r="E395" s="30"/>
      <c r="F395" s="32"/>
      <c r="G395" s="3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32"/>
      <c r="B396" s="29"/>
      <c r="C396" s="29"/>
      <c r="D396" s="29"/>
      <c r="E396" s="30"/>
      <c r="F396" s="32"/>
      <c r="G396" s="3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32"/>
      <c r="B397" s="29"/>
      <c r="C397" s="29"/>
      <c r="D397" s="29"/>
      <c r="E397" s="30"/>
      <c r="F397" s="32"/>
      <c r="G397" s="3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32"/>
      <c r="B398" s="29"/>
      <c r="C398" s="29"/>
      <c r="D398" s="29"/>
      <c r="E398" s="30"/>
      <c r="F398" s="32"/>
      <c r="G398" s="3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32"/>
      <c r="B399" s="29"/>
      <c r="C399" s="29"/>
      <c r="D399" s="29"/>
      <c r="E399" s="30"/>
      <c r="F399" s="32"/>
      <c r="G399" s="3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32"/>
      <c r="B400" s="29"/>
      <c r="C400" s="29"/>
      <c r="D400" s="29"/>
      <c r="E400" s="30"/>
      <c r="F400" s="32"/>
      <c r="G400" s="3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32"/>
      <c r="B401" s="29"/>
      <c r="C401" s="29"/>
      <c r="D401" s="29"/>
      <c r="E401" s="30"/>
      <c r="F401" s="32"/>
      <c r="G401" s="3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32"/>
      <c r="B402" s="29"/>
      <c r="C402" s="29"/>
      <c r="D402" s="29"/>
      <c r="E402" s="30"/>
      <c r="F402" s="32"/>
      <c r="G402" s="3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32"/>
      <c r="B403" s="29"/>
      <c r="C403" s="29"/>
      <c r="D403" s="29"/>
      <c r="E403" s="30"/>
      <c r="F403" s="32"/>
      <c r="G403" s="3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32"/>
      <c r="B404" s="29"/>
      <c r="C404" s="29"/>
      <c r="D404" s="29"/>
      <c r="E404" s="30"/>
      <c r="F404" s="32"/>
      <c r="G404" s="3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32"/>
      <c r="B405" s="29"/>
      <c r="C405" s="29"/>
      <c r="D405" s="29"/>
      <c r="E405" s="30"/>
      <c r="F405" s="32"/>
      <c r="G405" s="3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32"/>
      <c r="B406" s="29"/>
      <c r="C406" s="29"/>
      <c r="D406" s="29"/>
      <c r="E406" s="30"/>
      <c r="F406" s="32"/>
      <c r="G406" s="3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32"/>
      <c r="B407" s="29"/>
      <c r="C407" s="29"/>
      <c r="D407" s="29"/>
      <c r="E407" s="30"/>
      <c r="F407" s="32"/>
      <c r="G407" s="3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32"/>
      <c r="B408" s="29"/>
      <c r="C408" s="29"/>
      <c r="D408" s="29"/>
      <c r="E408" s="30"/>
      <c r="F408" s="32"/>
      <c r="G408" s="3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32"/>
      <c r="B409" s="29"/>
      <c r="C409" s="29"/>
      <c r="D409" s="29"/>
      <c r="E409" s="30"/>
      <c r="F409" s="32"/>
      <c r="G409" s="3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32"/>
      <c r="B410" s="29"/>
      <c r="C410" s="29"/>
      <c r="D410" s="29"/>
      <c r="E410" s="30"/>
      <c r="F410" s="32"/>
      <c r="G410" s="3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32"/>
      <c r="B411" s="29"/>
      <c r="C411" s="29"/>
      <c r="D411" s="29"/>
      <c r="E411" s="30"/>
      <c r="F411" s="32"/>
      <c r="G411" s="3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32"/>
      <c r="B412" s="29"/>
      <c r="C412" s="29"/>
      <c r="D412" s="29"/>
      <c r="E412" s="30"/>
      <c r="F412" s="32"/>
      <c r="G412" s="3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32"/>
      <c r="B413" s="29"/>
      <c r="C413" s="29"/>
      <c r="D413" s="29"/>
      <c r="E413" s="30"/>
      <c r="F413" s="32"/>
      <c r="G413" s="3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32"/>
      <c r="B414" s="29"/>
      <c r="C414" s="29"/>
      <c r="D414" s="29"/>
      <c r="E414" s="30"/>
      <c r="F414" s="32"/>
      <c r="G414" s="3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32"/>
      <c r="B415" s="29"/>
      <c r="C415" s="29"/>
      <c r="D415" s="29"/>
      <c r="E415" s="30"/>
      <c r="F415" s="32"/>
      <c r="G415" s="3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32"/>
      <c r="B416" s="29"/>
      <c r="C416" s="29"/>
      <c r="D416" s="29"/>
      <c r="E416" s="30"/>
      <c r="F416" s="32"/>
      <c r="G416" s="3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32"/>
      <c r="B417" s="29"/>
      <c r="C417" s="29"/>
      <c r="D417" s="29"/>
      <c r="E417" s="30"/>
      <c r="F417" s="32"/>
      <c r="G417" s="3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32"/>
      <c r="B418" s="29"/>
      <c r="C418" s="29"/>
      <c r="D418" s="29"/>
      <c r="E418" s="30"/>
      <c r="F418" s="32"/>
      <c r="G418" s="3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32"/>
      <c r="B419" s="29"/>
      <c r="C419" s="29"/>
      <c r="D419" s="29"/>
      <c r="E419" s="30"/>
      <c r="F419" s="32"/>
      <c r="G419" s="3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32"/>
      <c r="B420" s="29"/>
      <c r="C420" s="29"/>
      <c r="D420" s="29"/>
      <c r="E420" s="30"/>
      <c r="F420" s="32"/>
      <c r="G420" s="3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32"/>
      <c r="B421" s="29"/>
      <c r="C421" s="29"/>
      <c r="D421" s="29"/>
      <c r="E421" s="30"/>
      <c r="F421" s="32"/>
      <c r="G421" s="3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32"/>
      <c r="B422" s="29"/>
      <c r="C422" s="29"/>
      <c r="D422" s="29"/>
      <c r="E422" s="30"/>
      <c r="F422" s="32"/>
      <c r="G422" s="3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32"/>
      <c r="B423" s="29"/>
      <c r="C423" s="29"/>
      <c r="D423" s="29"/>
      <c r="E423" s="30"/>
      <c r="F423" s="32"/>
      <c r="G423" s="3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32"/>
      <c r="B424" s="29"/>
      <c r="C424" s="29"/>
      <c r="D424" s="29"/>
      <c r="E424" s="30"/>
      <c r="F424" s="32"/>
      <c r="G424" s="3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32"/>
      <c r="B425" s="29"/>
      <c r="C425" s="29"/>
      <c r="D425" s="29"/>
      <c r="E425" s="30"/>
      <c r="F425" s="32"/>
      <c r="G425" s="3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32"/>
      <c r="B426" s="29"/>
      <c r="C426" s="29"/>
      <c r="D426" s="29"/>
      <c r="E426" s="30"/>
      <c r="F426" s="32"/>
      <c r="G426" s="3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32"/>
      <c r="B427" s="29"/>
      <c r="C427" s="29"/>
      <c r="D427" s="29"/>
      <c r="E427" s="30"/>
      <c r="F427" s="32"/>
      <c r="G427" s="3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32"/>
      <c r="B428" s="29"/>
      <c r="C428" s="29"/>
      <c r="D428" s="29"/>
      <c r="E428" s="30"/>
      <c r="F428" s="32"/>
      <c r="G428" s="3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32"/>
      <c r="B429" s="29"/>
      <c r="C429" s="29"/>
      <c r="D429" s="29"/>
      <c r="E429" s="30"/>
      <c r="F429" s="32"/>
      <c r="G429" s="3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32"/>
      <c r="B430" s="29"/>
      <c r="C430" s="29"/>
      <c r="D430" s="29"/>
      <c r="E430" s="30"/>
      <c r="F430" s="32"/>
      <c r="G430" s="3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32"/>
      <c r="B431" s="29"/>
      <c r="C431" s="29"/>
      <c r="D431" s="29"/>
      <c r="E431" s="30"/>
      <c r="F431" s="32"/>
      <c r="G431" s="3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32"/>
      <c r="B432" s="29"/>
      <c r="C432" s="29"/>
      <c r="D432" s="29"/>
      <c r="E432" s="30"/>
      <c r="F432" s="32"/>
      <c r="G432" s="3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32"/>
      <c r="B433" s="29"/>
      <c r="C433" s="29"/>
      <c r="D433" s="29"/>
      <c r="E433" s="30"/>
      <c r="F433" s="32"/>
      <c r="G433" s="3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32"/>
      <c r="B434" s="29"/>
      <c r="C434" s="29"/>
      <c r="D434" s="29"/>
      <c r="E434" s="30"/>
      <c r="F434" s="32"/>
      <c r="G434" s="3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32"/>
      <c r="B435" s="29"/>
      <c r="C435" s="29"/>
      <c r="D435" s="29"/>
      <c r="E435" s="30"/>
      <c r="F435" s="32"/>
      <c r="G435" s="3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32"/>
      <c r="B436" s="29"/>
      <c r="C436" s="29"/>
      <c r="D436" s="29"/>
      <c r="E436" s="30"/>
      <c r="F436" s="32"/>
      <c r="G436" s="3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32"/>
      <c r="B437" s="29"/>
      <c r="C437" s="29"/>
      <c r="D437" s="29"/>
      <c r="E437" s="30"/>
      <c r="F437" s="32"/>
      <c r="G437" s="3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32"/>
      <c r="B438" s="29"/>
      <c r="C438" s="29"/>
      <c r="D438" s="29"/>
      <c r="E438" s="30"/>
      <c r="F438" s="32"/>
      <c r="G438" s="3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32"/>
      <c r="B439" s="29"/>
      <c r="C439" s="29"/>
      <c r="D439" s="29"/>
      <c r="E439" s="30"/>
      <c r="F439" s="32"/>
      <c r="G439" s="3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32"/>
      <c r="B440" s="29"/>
      <c r="C440" s="29"/>
      <c r="D440" s="29"/>
      <c r="E440" s="30"/>
      <c r="F440" s="32"/>
      <c r="G440" s="3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32"/>
      <c r="B441" s="29"/>
      <c r="C441" s="29"/>
      <c r="D441" s="29"/>
      <c r="E441" s="30"/>
      <c r="F441" s="32"/>
      <c r="G441" s="3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32"/>
      <c r="B442" s="29"/>
      <c r="C442" s="29"/>
      <c r="D442" s="29"/>
      <c r="E442" s="30"/>
      <c r="F442" s="32"/>
      <c r="G442" s="3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32"/>
      <c r="B443" s="29"/>
      <c r="C443" s="29"/>
      <c r="D443" s="29"/>
      <c r="E443" s="30"/>
      <c r="F443" s="32"/>
      <c r="G443" s="3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32"/>
      <c r="B444" s="29"/>
      <c r="C444" s="29"/>
      <c r="D444" s="29"/>
      <c r="E444" s="30"/>
      <c r="F444" s="32"/>
      <c r="G444" s="3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32"/>
      <c r="B445" s="29"/>
      <c r="C445" s="29"/>
      <c r="D445" s="29"/>
      <c r="E445" s="30"/>
      <c r="F445" s="32"/>
      <c r="G445" s="3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32"/>
      <c r="B446" s="29"/>
      <c r="C446" s="29"/>
      <c r="D446" s="29"/>
      <c r="E446" s="30"/>
      <c r="F446" s="32"/>
      <c r="G446" s="3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32"/>
      <c r="B447" s="29"/>
      <c r="C447" s="29"/>
      <c r="D447" s="29"/>
      <c r="E447" s="30"/>
      <c r="F447" s="32"/>
      <c r="G447" s="3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32"/>
      <c r="B448" s="29"/>
      <c r="C448" s="29"/>
      <c r="D448" s="29"/>
      <c r="E448" s="30"/>
      <c r="F448" s="32"/>
      <c r="G448" s="3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32"/>
      <c r="B449" s="29"/>
      <c r="C449" s="29"/>
      <c r="D449" s="29"/>
      <c r="E449" s="30"/>
      <c r="F449" s="32"/>
      <c r="G449" s="3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32"/>
      <c r="B450" s="29"/>
      <c r="C450" s="29"/>
      <c r="D450" s="29"/>
      <c r="E450" s="30"/>
      <c r="F450" s="32"/>
      <c r="G450" s="3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32"/>
      <c r="B451" s="29"/>
      <c r="C451" s="29"/>
      <c r="D451" s="29"/>
      <c r="E451" s="30"/>
      <c r="F451" s="32"/>
      <c r="G451" s="3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32"/>
      <c r="B452" s="29"/>
      <c r="C452" s="29"/>
      <c r="D452" s="29"/>
      <c r="E452" s="30"/>
      <c r="F452" s="32"/>
      <c r="G452" s="3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32"/>
      <c r="B453" s="29"/>
      <c r="C453" s="29"/>
      <c r="D453" s="29"/>
      <c r="E453" s="30"/>
      <c r="F453" s="32"/>
      <c r="G453" s="3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32"/>
      <c r="B454" s="29"/>
      <c r="C454" s="29"/>
      <c r="D454" s="29"/>
      <c r="E454" s="30"/>
      <c r="F454" s="32"/>
      <c r="G454" s="3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32"/>
      <c r="B455" s="29"/>
      <c r="C455" s="29"/>
      <c r="D455" s="29"/>
      <c r="E455" s="30"/>
      <c r="F455" s="32"/>
      <c r="G455" s="3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32"/>
      <c r="B456" s="29"/>
      <c r="C456" s="29"/>
      <c r="D456" s="29"/>
      <c r="E456" s="30"/>
      <c r="F456" s="32"/>
      <c r="G456" s="3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32"/>
      <c r="B457" s="29"/>
      <c r="C457" s="29"/>
      <c r="D457" s="29"/>
      <c r="E457" s="30"/>
      <c r="F457" s="32"/>
      <c r="G457" s="3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32"/>
      <c r="B458" s="29"/>
      <c r="C458" s="29"/>
      <c r="D458" s="29"/>
      <c r="E458" s="30"/>
      <c r="F458" s="32"/>
      <c r="G458" s="3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32"/>
      <c r="B459" s="29"/>
      <c r="C459" s="29"/>
      <c r="D459" s="29"/>
      <c r="E459" s="30"/>
      <c r="F459" s="32"/>
      <c r="G459" s="3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32"/>
      <c r="B460" s="29"/>
      <c r="C460" s="29"/>
      <c r="D460" s="29"/>
      <c r="E460" s="30"/>
      <c r="F460" s="32"/>
      <c r="G460" s="3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32"/>
      <c r="B461" s="29"/>
      <c r="C461" s="29"/>
      <c r="D461" s="29"/>
      <c r="E461" s="30"/>
      <c r="F461" s="32"/>
      <c r="G461" s="3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32"/>
      <c r="B462" s="29"/>
      <c r="C462" s="29"/>
      <c r="D462" s="29"/>
      <c r="E462" s="30"/>
      <c r="F462" s="32"/>
      <c r="G462" s="3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32"/>
      <c r="B463" s="29"/>
      <c r="C463" s="29"/>
      <c r="D463" s="29"/>
      <c r="E463" s="30"/>
      <c r="F463" s="32"/>
      <c r="G463" s="3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32"/>
      <c r="B464" s="29"/>
      <c r="C464" s="29"/>
      <c r="D464" s="29"/>
      <c r="E464" s="30"/>
      <c r="F464" s="32"/>
      <c r="G464" s="3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32"/>
      <c r="B465" s="29"/>
      <c r="C465" s="29"/>
      <c r="D465" s="29"/>
      <c r="E465" s="30"/>
      <c r="F465" s="32"/>
      <c r="G465" s="3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32"/>
      <c r="B466" s="29"/>
      <c r="C466" s="29"/>
      <c r="D466" s="29"/>
      <c r="E466" s="30"/>
      <c r="F466" s="32"/>
      <c r="G466" s="3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32"/>
      <c r="B467" s="29"/>
      <c r="C467" s="29"/>
      <c r="D467" s="29"/>
      <c r="E467" s="30"/>
      <c r="F467" s="32"/>
      <c r="G467" s="3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32"/>
      <c r="B468" s="29"/>
      <c r="C468" s="29"/>
      <c r="D468" s="29"/>
      <c r="E468" s="30"/>
      <c r="F468" s="32"/>
      <c r="G468" s="3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32"/>
      <c r="B469" s="29"/>
      <c r="C469" s="29"/>
      <c r="D469" s="29"/>
      <c r="E469" s="30"/>
      <c r="F469" s="32"/>
      <c r="G469" s="3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32"/>
      <c r="B470" s="29"/>
      <c r="C470" s="29"/>
      <c r="D470" s="29"/>
      <c r="E470" s="30"/>
      <c r="F470" s="32"/>
      <c r="G470" s="3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32"/>
      <c r="B471" s="29"/>
      <c r="C471" s="29"/>
      <c r="D471" s="29"/>
      <c r="E471" s="30"/>
      <c r="F471" s="32"/>
      <c r="G471" s="3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32"/>
      <c r="B472" s="29"/>
      <c r="C472" s="29"/>
      <c r="D472" s="29"/>
      <c r="E472" s="30"/>
      <c r="F472" s="32"/>
      <c r="G472" s="3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32"/>
      <c r="B473" s="29"/>
      <c r="C473" s="29"/>
      <c r="D473" s="29"/>
      <c r="E473" s="30"/>
      <c r="F473" s="32"/>
      <c r="G473" s="3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32"/>
      <c r="B474" s="29"/>
      <c r="C474" s="29"/>
      <c r="D474" s="29"/>
      <c r="E474" s="30"/>
      <c r="F474" s="32"/>
      <c r="G474" s="3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32"/>
      <c r="B475" s="29"/>
      <c r="C475" s="29"/>
      <c r="D475" s="29"/>
      <c r="E475" s="30"/>
      <c r="F475" s="32"/>
      <c r="G475" s="3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32"/>
      <c r="B476" s="29"/>
      <c r="C476" s="29"/>
      <c r="D476" s="29"/>
      <c r="E476" s="30"/>
      <c r="F476" s="32"/>
      <c r="G476" s="3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32"/>
      <c r="B477" s="29"/>
      <c r="C477" s="29"/>
      <c r="D477" s="29"/>
      <c r="E477" s="30"/>
      <c r="F477" s="32"/>
      <c r="G477" s="3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32"/>
      <c r="B478" s="29"/>
      <c r="C478" s="29"/>
      <c r="D478" s="29"/>
      <c r="E478" s="30"/>
      <c r="F478" s="32"/>
      <c r="G478" s="3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32"/>
      <c r="B479" s="29"/>
      <c r="C479" s="29"/>
      <c r="D479" s="29"/>
      <c r="E479" s="30"/>
      <c r="F479" s="32"/>
      <c r="G479" s="3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32"/>
      <c r="B480" s="29"/>
      <c r="C480" s="29"/>
      <c r="D480" s="29"/>
      <c r="E480" s="30"/>
      <c r="F480" s="32"/>
      <c r="G480" s="3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32"/>
      <c r="B481" s="29"/>
      <c r="C481" s="29"/>
      <c r="D481" s="29"/>
      <c r="E481" s="30"/>
      <c r="F481" s="32"/>
      <c r="G481" s="3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32"/>
      <c r="B482" s="29"/>
      <c r="C482" s="29"/>
      <c r="D482" s="29"/>
      <c r="E482" s="30"/>
      <c r="F482" s="32"/>
      <c r="G482" s="3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32"/>
      <c r="B483" s="29"/>
      <c r="C483" s="29"/>
      <c r="D483" s="29"/>
      <c r="E483" s="30"/>
      <c r="F483" s="32"/>
      <c r="G483" s="3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32"/>
      <c r="B484" s="29"/>
      <c r="C484" s="29"/>
      <c r="D484" s="29"/>
      <c r="E484" s="30"/>
      <c r="F484" s="32"/>
      <c r="G484" s="3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32"/>
      <c r="B485" s="29"/>
      <c r="C485" s="29"/>
      <c r="D485" s="29"/>
      <c r="E485" s="30"/>
      <c r="F485" s="32"/>
      <c r="G485" s="3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32"/>
      <c r="B486" s="29"/>
      <c r="C486" s="29"/>
      <c r="D486" s="29"/>
      <c r="E486" s="30"/>
      <c r="F486" s="32"/>
      <c r="G486" s="3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32"/>
      <c r="B487" s="29"/>
      <c r="C487" s="29"/>
      <c r="D487" s="29"/>
      <c r="E487" s="30"/>
      <c r="F487" s="32"/>
      <c r="G487" s="3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32"/>
      <c r="B488" s="29"/>
      <c r="C488" s="29"/>
      <c r="D488" s="29"/>
      <c r="E488" s="30"/>
      <c r="F488" s="32"/>
      <c r="G488" s="3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32"/>
      <c r="B489" s="29"/>
      <c r="C489" s="29"/>
      <c r="D489" s="29"/>
      <c r="E489" s="30"/>
      <c r="F489" s="32"/>
      <c r="G489" s="3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32"/>
      <c r="B490" s="29"/>
      <c r="C490" s="29"/>
      <c r="D490" s="29"/>
      <c r="E490" s="30"/>
      <c r="F490" s="32"/>
      <c r="G490" s="3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32"/>
      <c r="B491" s="29"/>
      <c r="C491" s="29"/>
      <c r="D491" s="29"/>
      <c r="E491" s="30"/>
      <c r="F491" s="32"/>
      <c r="G491" s="3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32"/>
      <c r="B492" s="29"/>
      <c r="C492" s="29"/>
      <c r="D492" s="29"/>
      <c r="E492" s="30"/>
      <c r="F492" s="32"/>
      <c r="G492" s="3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32"/>
      <c r="B493" s="29"/>
      <c r="C493" s="29"/>
      <c r="D493" s="29"/>
      <c r="E493" s="30"/>
      <c r="F493" s="32"/>
      <c r="G493" s="3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32"/>
      <c r="B494" s="29"/>
      <c r="C494" s="29"/>
      <c r="D494" s="29"/>
      <c r="E494" s="30"/>
      <c r="F494" s="32"/>
      <c r="G494" s="3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32"/>
      <c r="B495" s="29"/>
      <c r="C495" s="29"/>
      <c r="D495" s="29"/>
      <c r="E495" s="30"/>
      <c r="F495" s="32"/>
      <c r="G495" s="3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32"/>
      <c r="B496" s="29"/>
      <c r="C496" s="29"/>
      <c r="D496" s="29"/>
      <c r="E496" s="30"/>
      <c r="F496" s="32"/>
      <c r="G496" s="3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32"/>
      <c r="B497" s="29"/>
      <c r="C497" s="29"/>
      <c r="D497" s="29"/>
      <c r="E497" s="30"/>
      <c r="F497" s="32"/>
      <c r="G497" s="3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32"/>
      <c r="B498" s="29"/>
      <c r="C498" s="29"/>
      <c r="D498" s="29"/>
      <c r="E498" s="30"/>
      <c r="F498" s="32"/>
      <c r="G498" s="3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32"/>
      <c r="B499" s="29"/>
      <c r="C499" s="29"/>
      <c r="D499" s="29"/>
      <c r="E499" s="30"/>
      <c r="F499" s="32"/>
      <c r="G499" s="3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32"/>
      <c r="B500" s="29"/>
      <c r="C500" s="29"/>
      <c r="D500" s="29"/>
      <c r="E500" s="30"/>
      <c r="F500" s="32"/>
      <c r="G500" s="3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32"/>
      <c r="B501" s="29"/>
      <c r="C501" s="29"/>
      <c r="D501" s="29"/>
      <c r="E501" s="30"/>
      <c r="F501" s="32"/>
      <c r="G501" s="3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32"/>
      <c r="B502" s="29"/>
      <c r="C502" s="29"/>
      <c r="D502" s="29"/>
      <c r="E502" s="30"/>
      <c r="F502" s="32"/>
      <c r="G502" s="3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32"/>
      <c r="B503" s="29"/>
      <c r="C503" s="29"/>
      <c r="D503" s="29"/>
      <c r="E503" s="30"/>
      <c r="F503" s="32"/>
      <c r="G503" s="3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32"/>
      <c r="B504" s="29"/>
      <c r="C504" s="29"/>
      <c r="D504" s="29"/>
      <c r="E504" s="30"/>
      <c r="F504" s="32"/>
      <c r="G504" s="3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32"/>
      <c r="B505" s="29"/>
      <c r="C505" s="29"/>
      <c r="D505" s="29"/>
      <c r="E505" s="30"/>
      <c r="F505" s="32"/>
      <c r="G505" s="3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32"/>
      <c r="B506" s="29"/>
      <c r="C506" s="29"/>
      <c r="D506" s="29"/>
      <c r="E506" s="30"/>
      <c r="F506" s="32"/>
      <c r="G506" s="3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32"/>
      <c r="B507" s="29"/>
      <c r="C507" s="29"/>
      <c r="D507" s="29"/>
      <c r="E507" s="30"/>
      <c r="F507" s="32"/>
      <c r="G507" s="3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32"/>
      <c r="B508" s="29"/>
      <c r="C508" s="29"/>
      <c r="D508" s="29"/>
      <c r="E508" s="30"/>
      <c r="F508" s="32"/>
      <c r="G508" s="3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32"/>
      <c r="B509" s="29"/>
      <c r="C509" s="29"/>
      <c r="D509" s="29"/>
      <c r="E509" s="30"/>
      <c r="F509" s="32"/>
      <c r="G509" s="3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32"/>
      <c r="B510" s="29"/>
      <c r="C510" s="29"/>
      <c r="D510" s="29"/>
      <c r="E510" s="30"/>
      <c r="F510" s="32"/>
      <c r="G510" s="3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32"/>
      <c r="B511" s="29"/>
      <c r="C511" s="29"/>
      <c r="D511" s="29"/>
      <c r="E511" s="30"/>
      <c r="F511" s="32"/>
      <c r="G511" s="3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32"/>
      <c r="B512" s="29"/>
      <c r="C512" s="29"/>
      <c r="D512" s="29"/>
      <c r="E512" s="30"/>
      <c r="F512" s="32"/>
      <c r="G512" s="3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32"/>
      <c r="B513" s="29"/>
      <c r="C513" s="29"/>
      <c r="D513" s="29"/>
      <c r="E513" s="30"/>
      <c r="F513" s="32"/>
      <c r="G513" s="3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32"/>
      <c r="B514" s="29"/>
      <c r="C514" s="29"/>
      <c r="D514" s="29"/>
      <c r="E514" s="30"/>
      <c r="F514" s="32"/>
      <c r="G514" s="3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32"/>
      <c r="B515" s="29"/>
      <c r="C515" s="29"/>
      <c r="D515" s="29"/>
      <c r="E515" s="30"/>
      <c r="F515" s="32"/>
      <c r="G515" s="3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32"/>
      <c r="B516" s="29"/>
      <c r="C516" s="29"/>
      <c r="D516" s="29"/>
      <c r="E516" s="30"/>
      <c r="F516" s="32"/>
      <c r="G516" s="3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32"/>
      <c r="B517" s="29"/>
      <c r="C517" s="29"/>
      <c r="D517" s="29"/>
      <c r="E517" s="30"/>
      <c r="F517" s="32"/>
      <c r="G517" s="3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32"/>
      <c r="B518" s="29"/>
      <c r="C518" s="29"/>
      <c r="D518" s="29"/>
      <c r="E518" s="30"/>
      <c r="F518" s="32"/>
      <c r="G518" s="3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32"/>
      <c r="B519" s="29"/>
      <c r="C519" s="29"/>
      <c r="D519" s="29"/>
      <c r="E519" s="30"/>
      <c r="F519" s="32"/>
      <c r="G519" s="3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32"/>
      <c r="B520" s="29"/>
      <c r="C520" s="29"/>
      <c r="D520" s="29"/>
      <c r="E520" s="30"/>
      <c r="F520" s="32"/>
      <c r="G520" s="3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32"/>
      <c r="B521" s="29"/>
      <c r="C521" s="29"/>
      <c r="D521" s="29"/>
      <c r="E521" s="30"/>
      <c r="F521" s="32"/>
      <c r="G521" s="3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32"/>
      <c r="B522" s="29"/>
      <c r="C522" s="29"/>
      <c r="D522" s="29"/>
      <c r="E522" s="30"/>
      <c r="F522" s="32"/>
      <c r="G522" s="3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32"/>
      <c r="B523" s="29"/>
      <c r="C523" s="29"/>
      <c r="D523" s="29"/>
      <c r="E523" s="30"/>
      <c r="F523" s="32"/>
      <c r="G523" s="3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32"/>
      <c r="B524" s="29"/>
      <c r="C524" s="29"/>
      <c r="D524" s="29"/>
      <c r="E524" s="30"/>
      <c r="F524" s="32"/>
      <c r="G524" s="3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32"/>
      <c r="B525" s="29"/>
      <c r="C525" s="29"/>
      <c r="D525" s="29"/>
      <c r="E525" s="30"/>
      <c r="F525" s="32"/>
      <c r="G525" s="3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32"/>
      <c r="B526" s="29"/>
      <c r="C526" s="29"/>
      <c r="D526" s="29"/>
      <c r="E526" s="30"/>
      <c r="F526" s="32"/>
      <c r="G526" s="3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32"/>
      <c r="B527" s="29"/>
      <c r="C527" s="29"/>
      <c r="D527" s="29"/>
      <c r="E527" s="30"/>
      <c r="F527" s="32"/>
      <c r="G527" s="3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32"/>
      <c r="B528" s="29"/>
      <c r="C528" s="29"/>
      <c r="D528" s="29"/>
      <c r="E528" s="30"/>
      <c r="F528" s="32"/>
      <c r="G528" s="3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32"/>
      <c r="B529" s="29"/>
      <c r="C529" s="29"/>
      <c r="D529" s="29"/>
      <c r="E529" s="30"/>
      <c r="F529" s="32"/>
      <c r="G529" s="3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32"/>
      <c r="B530" s="29"/>
      <c r="C530" s="29"/>
      <c r="D530" s="29"/>
      <c r="E530" s="30"/>
      <c r="F530" s="32"/>
      <c r="G530" s="3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32"/>
      <c r="B531" s="29"/>
      <c r="C531" s="29"/>
      <c r="D531" s="29"/>
      <c r="E531" s="30"/>
      <c r="F531" s="32"/>
      <c r="G531" s="3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32"/>
      <c r="B532" s="29"/>
      <c r="C532" s="29"/>
      <c r="D532" s="29"/>
      <c r="E532" s="30"/>
      <c r="F532" s="32"/>
      <c r="G532" s="3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32"/>
      <c r="B533" s="29"/>
      <c r="C533" s="29"/>
      <c r="D533" s="29"/>
      <c r="E533" s="30"/>
      <c r="F533" s="32"/>
      <c r="G533" s="3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32"/>
      <c r="B534" s="29"/>
      <c r="C534" s="29"/>
      <c r="D534" s="29"/>
      <c r="E534" s="30"/>
      <c r="F534" s="32"/>
      <c r="G534" s="3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32"/>
      <c r="B535" s="29"/>
      <c r="C535" s="29"/>
      <c r="D535" s="29"/>
      <c r="E535" s="30"/>
      <c r="F535" s="32"/>
      <c r="G535" s="3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32"/>
      <c r="B536" s="29"/>
      <c r="C536" s="29"/>
      <c r="D536" s="29"/>
      <c r="E536" s="30"/>
      <c r="F536" s="32"/>
      <c r="G536" s="3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32"/>
      <c r="B537" s="29"/>
      <c r="C537" s="29"/>
      <c r="D537" s="29"/>
      <c r="E537" s="30"/>
      <c r="F537" s="32"/>
      <c r="G537" s="3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32"/>
      <c r="B538" s="29"/>
      <c r="C538" s="29"/>
      <c r="D538" s="29"/>
      <c r="E538" s="30"/>
      <c r="F538" s="32"/>
      <c r="G538" s="3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32"/>
      <c r="B539" s="29"/>
      <c r="C539" s="29"/>
      <c r="D539" s="29"/>
      <c r="E539" s="30"/>
      <c r="F539" s="32"/>
      <c r="G539" s="3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32"/>
      <c r="B540" s="29"/>
      <c r="C540" s="29"/>
      <c r="D540" s="29"/>
      <c r="E540" s="30"/>
      <c r="F540" s="32"/>
      <c r="G540" s="3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32"/>
      <c r="B541" s="29"/>
      <c r="C541" s="29"/>
      <c r="D541" s="29"/>
      <c r="E541" s="30"/>
      <c r="F541" s="32"/>
      <c r="G541" s="3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32"/>
      <c r="B542" s="29"/>
      <c r="C542" s="29"/>
      <c r="D542" s="29"/>
      <c r="E542" s="30"/>
      <c r="F542" s="32"/>
      <c r="G542" s="3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32"/>
      <c r="B543" s="29"/>
      <c r="C543" s="29"/>
      <c r="D543" s="29"/>
      <c r="E543" s="30"/>
      <c r="F543" s="32"/>
      <c r="G543" s="3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32"/>
      <c r="B544" s="29"/>
      <c r="C544" s="29"/>
      <c r="D544" s="29"/>
      <c r="E544" s="30"/>
      <c r="F544" s="32"/>
      <c r="G544" s="3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32"/>
      <c r="B545" s="29"/>
      <c r="C545" s="29"/>
      <c r="D545" s="29"/>
      <c r="E545" s="30"/>
      <c r="F545" s="32"/>
      <c r="G545" s="3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32"/>
      <c r="B546" s="29"/>
      <c r="C546" s="29"/>
      <c r="D546" s="29"/>
      <c r="E546" s="30"/>
      <c r="F546" s="32"/>
      <c r="G546" s="3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32"/>
      <c r="B547" s="29"/>
      <c r="C547" s="29"/>
      <c r="D547" s="29"/>
      <c r="E547" s="30"/>
      <c r="F547" s="32"/>
      <c r="G547" s="3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32"/>
      <c r="B548" s="29"/>
      <c r="C548" s="29"/>
      <c r="D548" s="29"/>
      <c r="E548" s="30"/>
      <c r="F548" s="32"/>
      <c r="G548" s="3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32"/>
      <c r="B549" s="29"/>
      <c r="C549" s="29"/>
      <c r="D549" s="29"/>
      <c r="E549" s="30"/>
      <c r="F549" s="32"/>
      <c r="G549" s="3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32"/>
      <c r="B550" s="29"/>
      <c r="C550" s="29"/>
      <c r="D550" s="29"/>
      <c r="E550" s="30"/>
      <c r="F550" s="32"/>
      <c r="G550" s="3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32"/>
      <c r="B551" s="29"/>
      <c r="C551" s="29"/>
      <c r="D551" s="29"/>
      <c r="E551" s="30"/>
      <c r="F551" s="32"/>
      <c r="G551" s="3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32"/>
      <c r="B552" s="29"/>
      <c r="C552" s="29"/>
      <c r="D552" s="29"/>
      <c r="E552" s="30"/>
      <c r="F552" s="32"/>
      <c r="G552" s="3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32"/>
      <c r="B553" s="29"/>
      <c r="C553" s="29"/>
      <c r="D553" s="29"/>
      <c r="E553" s="30"/>
      <c r="F553" s="32"/>
      <c r="G553" s="3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32"/>
      <c r="B554" s="29"/>
      <c r="C554" s="29"/>
      <c r="D554" s="29"/>
      <c r="E554" s="30"/>
      <c r="F554" s="32"/>
      <c r="G554" s="3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32"/>
      <c r="B555" s="29"/>
      <c r="C555" s="29"/>
      <c r="D555" s="29"/>
      <c r="E555" s="30"/>
      <c r="F555" s="32"/>
      <c r="G555" s="3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32"/>
      <c r="B556" s="29"/>
      <c r="C556" s="29"/>
      <c r="D556" s="29"/>
      <c r="E556" s="30"/>
      <c r="F556" s="32"/>
      <c r="G556" s="3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32"/>
      <c r="B557" s="29"/>
      <c r="C557" s="29"/>
      <c r="D557" s="29"/>
      <c r="E557" s="30"/>
      <c r="F557" s="32"/>
      <c r="G557" s="3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32"/>
      <c r="B558" s="29"/>
      <c r="C558" s="29"/>
      <c r="D558" s="29"/>
      <c r="E558" s="30"/>
      <c r="F558" s="32"/>
      <c r="G558" s="3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32"/>
      <c r="B559" s="29"/>
      <c r="C559" s="29"/>
      <c r="D559" s="29"/>
      <c r="E559" s="30"/>
      <c r="F559" s="32"/>
      <c r="G559" s="3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32"/>
      <c r="B560" s="29"/>
      <c r="C560" s="29"/>
      <c r="D560" s="29"/>
      <c r="E560" s="30"/>
      <c r="F560" s="32"/>
      <c r="G560" s="3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32"/>
      <c r="B561" s="29"/>
      <c r="C561" s="29"/>
      <c r="D561" s="29"/>
      <c r="E561" s="30"/>
      <c r="F561" s="32"/>
      <c r="G561" s="3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32"/>
      <c r="B562" s="29"/>
      <c r="C562" s="29"/>
      <c r="D562" s="29"/>
      <c r="E562" s="30"/>
      <c r="F562" s="32"/>
      <c r="G562" s="3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32"/>
      <c r="B563" s="29"/>
      <c r="C563" s="29"/>
      <c r="D563" s="29"/>
      <c r="E563" s="30"/>
      <c r="F563" s="32"/>
      <c r="G563" s="3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32"/>
      <c r="B564" s="29"/>
      <c r="C564" s="29"/>
      <c r="D564" s="29"/>
      <c r="E564" s="30"/>
      <c r="F564" s="32"/>
      <c r="G564" s="3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32"/>
      <c r="B565" s="29"/>
      <c r="C565" s="29"/>
      <c r="D565" s="29"/>
      <c r="E565" s="30"/>
      <c r="F565" s="32"/>
      <c r="G565" s="3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32"/>
      <c r="B566" s="29"/>
      <c r="C566" s="29"/>
      <c r="D566" s="29"/>
      <c r="E566" s="30"/>
      <c r="F566" s="32"/>
      <c r="G566" s="3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32"/>
      <c r="B567" s="29"/>
      <c r="C567" s="29"/>
      <c r="D567" s="29"/>
      <c r="E567" s="30"/>
      <c r="F567" s="32"/>
      <c r="G567" s="3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32"/>
      <c r="B568" s="29"/>
      <c r="C568" s="29"/>
      <c r="D568" s="29"/>
      <c r="E568" s="30"/>
      <c r="F568" s="32"/>
      <c r="G568" s="3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32"/>
      <c r="B569" s="29"/>
      <c r="C569" s="29"/>
      <c r="D569" s="29"/>
      <c r="E569" s="30"/>
      <c r="F569" s="32"/>
      <c r="G569" s="3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32"/>
      <c r="B570" s="29"/>
      <c r="C570" s="29"/>
      <c r="D570" s="29"/>
      <c r="E570" s="30"/>
      <c r="F570" s="32"/>
      <c r="G570" s="3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32"/>
      <c r="B571" s="29"/>
      <c r="C571" s="29"/>
      <c r="D571" s="29"/>
      <c r="E571" s="30"/>
      <c r="F571" s="32"/>
      <c r="G571" s="3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32"/>
      <c r="B572" s="29"/>
      <c r="C572" s="29"/>
      <c r="D572" s="29"/>
      <c r="E572" s="30"/>
      <c r="F572" s="32"/>
      <c r="G572" s="3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32"/>
      <c r="B573" s="29"/>
      <c r="C573" s="29"/>
      <c r="D573" s="29"/>
      <c r="E573" s="30"/>
      <c r="F573" s="32"/>
      <c r="G573" s="3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32"/>
      <c r="B574" s="29"/>
      <c r="C574" s="29"/>
      <c r="D574" s="29"/>
      <c r="E574" s="30"/>
      <c r="F574" s="32"/>
      <c r="G574" s="3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32"/>
      <c r="B575" s="29"/>
      <c r="C575" s="29"/>
      <c r="D575" s="29"/>
      <c r="E575" s="30"/>
      <c r="F575" s="32"/>
      <c r="G575" s="3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32"/>
      <c r="B576" s="29"/>
      <c r="C576" s="29"/>
      <c r="D576" s="29"/>
      <c r="E576" s="30"/>
      <c r="F576" s="32"/>
      <c r="G576" s="3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32"/>
      <c r="B577" s="29"/>
      <c r="C577" s="29"/>
      <c r="D577" s="29"/>
      <c r="E577" s="30"/>
      <c r="F577" s="32"/>
      <c r="G577" s="3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32"/>
      <c r="B578" s="29"/>
      <c r="C578" s="29"/>
      <c r="D578" s="29"/>
      <c r="E578" s="30"/>
      <c r="F578" s="32"/>
      <c r="G578" s="3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32"/>
      <c r="B579" s="29"/>
      <c r="C579" s="29"/>
      <c r="D579" s="29"/>
      <c r="E579" s="30"/>
      <c r="F579" s="32"/>
      <c r="G579" s="3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32"/>
      <c r="B580" s="29"/>
      <c r="C580" s="29"/>
      <c r="D580" s="29"/>
      <c r="E580" s="30"/>
      <c r="F580" s="32"/>
      <c r="G580" s="3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32"/>
      <c r="B581" s="29"/>
      <c r="C581" s="29"/>
      <c r="D581" s="29"/>
      <c r="E581" s="30"/>
      <c r="F581" s="32"/>
      <c r="G581" s="3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32"/>
      <c r="B582" s="29"/>
      <c r="C582" s="29"/>
      <c r="D582" s="29"/>
      <c r="E582" s="30"/>
      <c r="F582" s="32"/>
      <c r="G582" s="3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32"/>
      <c r="B583" s="29"/>
      <c r="C583" s="29"/>
      <c r="D583" s="29"/>
      <c r="E583" s="30"/>
      <c r="F583" s="32"/>
      <c r="G583" s="3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32"/>
      <c r="B584" s="29"/>
      <c r="C584" s="29"/>
      <c r="D584" s="29"/>
      <c r="E584" s="30"/>
      <c r="F584" s="32"/>
      <c r="G584" s="3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32"/>
      <c r="B585" s="29"/>
      <c r="C585" s="29"/>
      <c r="D585" s="29"/>
      <c r="E585" s="30"/>
      <c r="F585" s="32"/>
      <c r="G585" s="3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32"/>
      <c r="B586" s="29"/>
      <c r="C586" s="29"/>
      <c r="D586" s="29"/>
      <c r="E586" s="30"/>
      <c r="F586" s="32"/>
      <c r="G586" s="3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32"/>
      <c r="B587" s="29"/>
      <c r="C587" s="29"/>
      <c r="D587" s="29"/>
      <c r="E587" s="30"/>
      <c r="F587" s="32"/>
      <c r="G587" s="3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32"/>
      <c r="B588" s="29"/>
      <c r="C588" s="29"/>
      <c r="D588" s="29"/>
      <c r="E588" s="30"/>
      <c r="F588" s="32"/>
      <c r="G588" s="3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32"/>
      <c r="B589" s="29"/>
      <c r="C589" s="29"/>
      <c r="D589" s="29"/>
      <c r="E589" s="30"/>
      <c r="F589" s="32"/>
      <c r="G589" s="3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32"/>
      <c r="B590" s="29"/>
      <c r="C590" s="29"/>
      <c r="D590" s="29"/>
      <c r="E590" s="30"/>
      <c r="F590" s="32"/>
      <c r="G590" s="3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32"/>
      <c r="B591" s="29"/>
      <c r="C591" s="29"/>
      <c r="D591" s="29"/>
      <c r="E591" s="30"/>
      <c r="F591" s="32"/>
      <c r="G591" s="3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32"/>
      <c r="B592" s="29"/>
      <c r="C592" s="29"/>
      <c r="D592" s="29"/>
      <c r="E592" s="30"/>
      <c r="F592" s="32"/>
      <c r="G592" s="3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32"/>
      <c r="B593" s="29"/>
      <c r="C593" s="29"/>
      <c r="D593" s="29"/>
      <c r="E593" s="30"/>
      <c r="F593" s="32"/>
      <c r="G593" s="3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32"/>
      <c r="B594" s="29"/>
      <c r="C594" s="29"/>
      <c r="D594" s="29"/>
      <c r="E594" s="30"/>
      <c r="F594" s="32"/>
      <c r="G594" s="3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32"/>
      <c r="B595" s="29"/>
      <c r="C595" s="29"/>
      <c r="D595" s="29"/>
      <c r="E595" s="30"/>
      <c r="F595" s="32"/>
      <c r="G595" s="3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32"/>
      <c r="B596" s="29"/>
      <c r="C596" s="29"/>
      <c r="D596" s="29"/>
      <c r="E596" s="30"/>
      <c r="F596" s="32"/>
      <c r="G596" s="3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32"/>
      <c r="B597" s="29"/>
      <c r="C597" s="29"/>
      <c r="D597" s="29"/>
      <c r="E597" s="30"/>
      <c r="F597" s="32"/>
      <c r="G597" s="3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32"/>
      <c r="B598" s="29"/>
      <c r="C598" s="29"/>
      <c r="D598" s="29"/>
      <c r="E598" s="30"/>
      <c r="F598" s="32"/>
      <c r="G598" s="3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32"/>
      <c r="B599" s="29"/>
      <c r="C599" s="29"/>
      <c r="D599" s="29"/>
      <c r="E599" s="30"/>
      <c r="F599" s="32"/>
      <c r="G599" s="3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32"/>
      <c r="B600" s="29"/>
      <c r="C600" s="29"/>
      <c r="D600" s="29"/>
      <c r="E600" s="30"/>
      <c r="F600" s="32"/>
      <c r="G600" s="3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32"/>
      <c r="B601" s="29"/>
      <c r="C601" s="29"/>
      <c r="D601" s="29"/>
      <c r="E601" s="30"/>
      <c r="F601" s="32"/>
      <c r="G601" s="3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32"/>
      <c r="B602" s="29"/>
      <c r="C602" s="29"/>
      <c r="D602" s="29"/>
      <c r="E602" s="30"/>
      <c r="F602" s="32"/>
      <c r="G602" s="3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32"/>
      <c r="B603" s="29"/>
      <c r="C603" s="29"/>
      <c r="D603" s="29"/>
      <c r="E603" s="30"/>
      <c r="F603" s="32"/>
      <c r="G603" s="3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32"/>
      <c r="B604" s="29"/>
      <c r="C604" s="29"/>
      <c r="D604" s="29"/>
      <c r="E604" s="30"/>
      <c r="F604" s="32"/>
      <c r="G604" s="3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32"/>
      <c r="B605" s="29"/>
      <c r="C605" s="29"/>
      <c r="D605" s="29"/>
      <c r="E605" s="30"/>
      <c r="F605" s="32"/>
      <c r="G605" s="3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32"/>
      <c r="B606" s="29"/>
      <c r="C606" s="29"/>
      <c r="D606" s="29"/>
      <c r="E606" s="30"/>
      <c r="F606" s="32"/>
      <c r="G606" s="3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32"/>
      <c r="B607" s="29"/>
      <c r="C607" s="29"/>
      <c r="D607" s="29"/>
      <c r="E607" s="30"/>
      <c r="F607" s="32"/>
      <c r="G607" s="3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32"/>
      <c r="B608" s="29"/>
      <c r="C608" s="29"/>
      <c r="D608" s="29"/>
      <c r="E608" s="30"/>
      <c r="F608" s="32"/>
      <c r="G608" s="3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32"/>
      <c r="B609" s="29"/>
      <c r="C609" s="29"/>
      <c r="D609" s="29"/>
      <c r="E609" s="30"/>
      <c r="F609" s="32"/>
      <c r="G609" s="3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32"/>
      <c r="B610" s="29"/>
      <c r="C610" s="29"/>
      <c r="D610" s="29"/>
      <c r="E610" s="30"/>
      <c r="F610" s="32"/>
      <c r="G610" s="3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32"/>
      <c r="B611" s="29"/>
      <c r="C611" s="29"/>
      <c r="D611" s="29"/>
      <c r="E611" s="30"/>
      <c r="F611" s="32"/>
      <c r="G611" s="3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32"/>
      <c r="B612" s="29"/>
      <c r="C612" s="29"/>
      <c r="D612" s="29"/>
      <c r="E612" s="30"/>
      <c r="F612" s="32"/>
      <c r="G612" s="3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32"/>
      <c r="B613" s="29"/>
      <c r="C613" s="29"/>
      <c r="D613" s="29"/>
      <c r="E613" s="30"/>
      <c r="F613" s="32"/>
      <c r="G613" s="3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32"/>
      <c r="B614" s="29"/>
      <c r="C614" s="29"/>
      <c r="D614" s="29"/>
      <c r="E614" s="30"/>
      <c r="F614" s="32"/>
      <c r="G614" s="3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32"/>
      <c r="B615" s="29"/>
      <c r="C615" s="29"/>
      <c r="D615" s="29"/>
      <c r="E615" s="30"/>
      <c r="F615" s="32"/>
      <c r="G615" s="3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32"/>
      <c r="B616" s="29"/>
      <c r="C616" s="29"/>
      <c r="D616" s="29"/>
      <c r="E616" s="30"/>
      <c r="F616" s="32"/>
      <c r="G616" s="3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32"/>
      <c r="B617" s="29"/>
      <c r="C617" s="29"/>
      <c r="D617" s="29"/>
      <c r="E617" s="30"/>
      <c r="F617" s="32"/>
      <c r="G617" s="3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32"/>
      <c r="B618" s="29"/>
      <c r="C618" s="29"/>
      <c r="D618" s="29"/>
      <c r="E618" s="30"/>
      <c r="F618" s="32"/>
      <c r="G618" s="3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32"/>
      <c r="B619" s="29"/>
      <c r="C619" s="29"/>
      <c r="D619" s="29"/>
      <c r="E619" s="30"/>
      <c r="F619" s="32"/>
      <c r="G619" s="3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32"/>
      <c r="B620" s="29"/>
      <c r="C620" s="29"/>
      <c r="D620" s="29"/>
      <c r="E620" s="30"/>
      <c r="F620" s="32"/>
      <c r="G620" s="3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32"/>
      <c r="B621" s="29"/>
      <c r="C621" s="29"/>
      <c r="D621" s="29"/>
      <c r="E621" s="30"/>
      <c r="F621" s="32"/>
      <c r="G621" s="3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32"/>
      <c r="B622" s="29"/>
      <c r="C622" s="29"/>
      <c r="D622" s="29"/>
      <c r="E622" s="30"/>
      <c r="F622" s="32"/>
      <c r="G622" s="3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32"/>
      <c r="B623" s="29"/>
      <c r="C623" s="29"/>
      <c r="D623" s="29"/>
      <c r="E623" s="30"/>
      <c r="F623" s="32"/>
      <c r="G623" s="3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32"/>
      <c r="B624" s="29"/>
      <c r="C624" s="29"/>
      <c r="D624" s="29"/>
      <c r="E624" s="30"/>
      <c r="F624" s="32"/>
      <c r="G624" s="3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32"/>
      <c r="B625" s="29"/>
      <c r="C625" s="29"/>
      <c r="D625" s="29"/>
      <c r="E625" s="30"/>
      <c r="F625" s="32"/>
      <c r="G625" s="3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32"/>
      <c r="B626" s="29"/>
      <c r="C626" s="29"/>
      <c r="D626" s="29"/>
      <c r="E626" s="30"/>
      <c r="F626" s="32"/>
      <c r="G626" s="3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32"/>
      <c r="B627" s="29"/>
      <c r="C627" s="29"/>
      <c r="D627" s="29"/>
      <c r="E627" s="30"/>
      <c r="F627" s="32"/>
      <c r="G627" s="3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32"/>
      <c r="B628" s="29"/>
      <c r="C628" s="29"/>
      <c r="D628" s="29"/>
      <c r="E628" s="30"/>
      <c r="F628" s="32"/>
      <c r="G628" s="3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32"/>
      <c r="B629" s="29"/>
      <c r="C629" s="29"/>
      <c r="D629" s="29"/>
      <c r="E629" s="30"/>
      <c r="F629" s="32"/>
      <c r="G629" s="3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32"/>
      <c r="B630" s="29"/>
      <c r="C630" s="29"/>
      <c r="D630" s="29"/>
      <c r="E630" s="30"/>
      <c r="F630" s="32"/>
      <c r="G630" s="3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32"/>
      <c r="B631" s="29"/>
      <c r="C631" s="29"/>
      <c r="D631" s="29"/>
      <c r="E631" s="30"/>
      <c r="F631" s="32"/>
      <c r="G631" s="3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32"/>
      <c r="B632" s="29"/>
      <c r="C632" s="29"/>
      <c r="D632" s="29"/>
      <c r="E632" s="30"/>
      <c r="F632" s="32"/>
      <c r="G632" s="3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32"/>
      <c r="B633" s="29"/>
      <c r="C633" s="29"/>
      <c r="D633" s="29"/>
      <c r="E633" s="30"/>
      <c r="F633" s="32"/>
      <c r="G633" s="3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32"/>
      <c r="B634" s="29"/>
      <c r="C634" s="29"/>
      <c r="D634" s="29"/>
      <c r="E634" s="30"/>
      <c r="F634" s="32"/>
      <c r="G634" s="3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32"/>
      <c r="B635" s="29"/>
      <c r="C635" s="29"/>
      <c r="D635" s="29"/>
      <c r="E635" s="30"/>
      <c r="F635" s="32"/>
      <c r="G635" s="3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32"/>
      <c r="B636" s="29"/>
      <c r="C636" s="29"/>
      <c r="D636" s="29"/>
      <c r="E636" s="30"/>
      <c r="F636" s="32"/>
      <c r="G636" s="3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32"/>
      <c r="B637" s="29"/>
      <c r="C637" s="29"/>
      <c r="D637" s="29"/>
      <c r="E637" s="30"/>
      <c r="F637" s="32"/>
      <c r="G637" s="3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32"/>
      <c r="B638" s="29"/>
      <c r="C638" s="29"/>
      <c r="D638" s="29"/>
      <c r="E638" s="30"/>
      <c r="F638" s="32"/>
      <c r="G638" s="3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32"/>
      <c r="B639" s="29"/>
      <c r="C639" s="29"/>
      <c r="D639" s="29"/>
      <c r="E639" s="30"/>
      <c r="F639" s="32"/>
      <c r="G639" s="3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32"/>
      <c r="B640" s="29"/>
      <c r="C640" s="29"/>
      <c r="D640" s="29"/>
      <c r="E640" s="30"/>
      <c r="F640" s="32"/>
      <c r="G640" s="3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32"/>
      <c r="B641" s="29"/>
      <c r="C641" s="29"/>
      <c r="D641" s="29"/>
      <c r="E641" s="30"/>
      <c r="F641" s="32"/>
      <c r="G641" s="3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32"/>
      <c r="B642" s="29"/>
      <c r="C642" s="29"/>
      <c r="D642" s="29"/>
      <c r="E642" s="30"/>
      <c r="F642" s="32"/>
      <c r="G642" s="3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32"/>
      <c r="B643" s="29"/>
      <c r="C643" s="29"/>
      <c r="D643" s="29"/>
      <c r="E643" s="30"/>
      <c r="F643" s="32"/>
      <c r="G643" s="3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32"/>
      <c r="B644" s="29"/>
      <c r="C644" s="29"/>
      <c r="D644" s="29"/>
      <c r="E644" s="30"/>
      <c r="F644" s="32"/>
      <c r="G644" s="3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32"/>
      <c r="B645" s="29"/>
      <c r="C645" s="29"/>
      <c r="D645" s="29"/>
      <c r="E645" s="30"/>
      <c r="F645" s="32"/>
      <c r="G645" s="3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32"/>
      <c r="B646" s="29"/>
      <c r="C646" s="29"/>
      <c r="D646" s="29"/>
      <c r="E646" s="30"/>
      <c r="F646" s="32"/>
      <c r="G646" s="3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32"/>
      <c r="B647" s="29"/>
      <c r="C647" s="29"/>
      <c r="D647" s="29"/>
      <c r="E647" s="30"/>
      <c r="F647" s="32"/>
      <c r="G647" s="3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32"/>
      <c r="B648" s="29"/>
      <c r="C648" s="29"/>
      <c r="D648" s="29"/>
      <c r="E648" s="30"/>
      <c r="F648" s="32"/>
      <c r="G648" s="3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32"/>
      <c r="B649" s="29"/>
      <c r="C649" s="29"/>
      <c r="D649" s="29"/>
      <c r="E649" s="30"/>
      <c r="F649" s="32"/>
      <c r="G649" s="3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32"/>
      <c r="B650" s="29"/>
      <c r="C650" s="29"/>
      <c r="D650" s="29"/>
      <c r="E650" s="30"/>
      <c r="F650" s="32"/>
      <c r="G650" s="3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32"/>
      <c r="B651" s="29"/>
      <c r="C651" s="29"/>
      <c r="D651" s="29"/>
      <c r="E651" s="30"/>
      <c r="F651" s="32"/>
      <c r="G651" s="3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32"/>
      <c r="B652" s="29"/>
      <c r="C652" s="29"/>
      <c r="D652" s="29"/>
      <c r="E652" s="30"/>
      <c r="F652" s="32"/>
      <c r="G652" s="3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32"/>
      <c r="B653" s="29"/>
      <c r="C653" s="29"/>
      <c r="D653" s="29"/>
      <c r="E653" s="30"/>
      <c r="F653" s="32"/>
      <c r="G653" s="3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32"/>
      <c r="B654" s="29"/>
      <c r="C654" s="29"/>
      <c r="D654" s="29"/>
      <c r="E654" s="30"/>
      <c r="F654" s="32"/>
      <c r="G654" s="3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32"/>
      <c r="B655" s="29"/>
      <c r="C655" s="29"/>
      <c r="D655" s="29"/>
      <c r="E655" s="30"/>
      <c r="F655" s="32"/>
      <c r="G655" s="3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32"/>
      <c r="B656" s="29"/>
      <c r="C656" s="29"/>
      <c r="D656" s="29"/>
      <c r="E656" s="30"/>
      <c r="F656" s="32"/>
      <c r="G656" s="3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32"/>
      <c r="B657" s="29"/>
      <c r="C657" s="29"/>
      <c r="D657" s="29"/>
      <c r="E657" s="30"/>
      <c r="F657" s="32"/>
      <c r="G657" s="3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32"/>
      <c r="B658" s="29"/>
      <c r="C658" s="29"/>
      <c r="D658" s="29"/>
      <c r="E658" s="30"/>
      <c r="F658" s="32"/>
      <c r="G658" s="3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32"/>
      <c r="B659" s="29"/>
      <c r="C659" s="29"/>
      <c r="D659" s="29"/>
      <c r="E659" s="30"/>
      <c r="F659" s="32"/>
      <c r="G659" s="3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32"/>
      <c r="B660" s="29"/>
      <c r="C660" s="29"/>
      <c r="D660" s="29"/>
      <c r="E660" s="30"/>
      <c r="F660" s="32"/>
      <c r="G660" s="3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32"/>
      <c r="B661" s="29"/>
      <c r="C661" s="29"/>
      <c r="D661" s="29"/>
      <c r="E661" s="30"/>
      <c r="F661" s="32"/>
      <c r="G661" s="3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32"/>
      <c r="B662" s="29"/>
      <c r="C662" s="29"/>
      <c r="D662" s="29"/>
      <c r="E662" s="30"/>
      <c r="F662" s="32"/>
      <c r="G662" s="3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32"/>
      <c r="B663" s="29"/>
      <c r="C663" s="29"/>
      <c r="D663" s="29"/>
      <c r="E663" s="30"/>
      <c r="F663" s="32"/>
      <c r="G663" s="3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32"/>
      <c r="B664" s="29"/>
      <c r="C664" s="29"/>
      <c r="D664" s="29"/>
      <c r="E664" s="30"/>
      <c r="F664" s="32"/>
      <c r="G664" s="3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32"/>
      <c r="B665" s="29"/>
      <c r="C665" s="29"/>
      <c r="D665" s="29"/>
      <c r="E665" s="30"/>
      <c r="F665" s="32"/>
      <c r="G665" s="3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32"/>
      <c r="B666" s="29"/>
      <c r="C666" s="29"/>
      <c r="D666" s="29"/>
      <c r="E666" s="30"/>
      <c r="F666" s="32"/>
      <c r="G666" s="3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32"/>
      <c r="B667" s="29"/>
      <c r="C667" s="29"/>
      <c r="D667" s="29"/>
      <c r="E667" s="30"/>
      <c r="F667" s="32"/>
      <c r="G667" s="3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32"/>
      <c r="B668" s="29"/>
      <c r="C668" s="29"/>
      <c r="D668" s="29"/>
      <c r="E668" s="30"/>
      <c r="F668" s="32"/>
      <c r="G668" s="3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32"/>
      <c r="B669" s="29"/>
      <c r="C669" s="29"/>
      <c r="D669" s="29"/>
      <c r="E669" s="30"/>
      <c r="F669" s="32"/>
      <c r="G669" s="3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32"/>
      <c r="B670" s="29"/>
      <c r="C670" s="29"/>
      <c r="D670" s="29"/>
      <c r="E670" s="30"/>
      <c r="F670" s="32"/>
      <c r="G670" s="3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32"/>
      <c r="B671" s="29"/>
      <c r="C671" s="29"/>
      <c r="D671" s="29"/>
      <c r="E671" s="30"/>
      <c r="F671" s="32"/>
      <c r="G671" s="3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32"/>
      <c r="B672" s="29"/>
      <c r="C672" s="29"/>
      <c r="D672" s="29"/>
      <c r="E672" s="30"/>
      <c r="F672" s="32"/>
      <c r="G672" s="3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32"/>
      <c r="B673" s="29"/>
      <c r="C673" s="29"/>
      <c r="D673" s="29"/>
      <c r="E673" s="30"/>
      <c r="F673" s="32"/>
      <c r="G673" s="3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32"/>
      <c r="B674" s="29"/>
      <c r="C674" s="29"/>
      <c r="D674" s="29"/>
      <c r="E674" s="30"/>
      <c r="F674" s="32"/>
      <c r="G674" s="3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32"/>
      <c r="B675" s="29"/>
      <c r="C675" s="29"/>
      <c r="D675" s="29"/>
      <c r="E675" s="30"/>
      <c r="F675" s="32"/>
      <c r="G675" s="3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32"/>
      <c r="B676" s="29"/>
      <c r="C676" s="29"/>
      <c r="D676" s="29"/>
      <c r="E676" s="30"/>
      <c r="F676" s="32"/>
      <c r="G676" s="3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32"/>
      <c r="B677" s="29"/>
      <c r="C677" s="29"/>
      <c r="D677" s="29"/>
      <c r="E677" s="30"/>
      <c r="F677" s="32"/>
      <c r="G677" s="3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32"/>
      <c r="B678" s="29"/>
      <c r="C678" s="29"/>
      <c r="D678" s="29"/>
      <c r="E678" s="30"/>
      <c r="F678" s="32"/>
      <c r="G678" s="3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32"/>
      <c r="B679" s="29"/>
      <c r="C679" s="29"/>
      <c r="D679" s="29"/>
      <c r="E679" s="30"/>
      <c r="F679" s="32"/>
      <c r="G679" s="3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32"/>
      <c r="B680" s="29"/>
      <c r="C680" s="29"/>
      <c r="D680" s="29"/>
      <c r="E680" s="30"/>
      <c r="F680" s="32"/>
      <c r="G680" s="3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32"/>
      <c r="B681" s="29"/>
      <c r="C681" s="29"/>
      <c r="D681" s="29"/>
      <c r="E681" s="30"/>
      <c r="F681" s="32"/>
      <c r="G681" s="3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32"/>
      <c r="B682" s="29"/>
      <c r="C682" s="29"/>
      <c r="D682" s="29"/>
      <c r="E682" s="30"/>
      <c r="F682" s="32"/>
      <c r="G682" s="3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32"/>
      <c r="B683" s="29"/>
      <c r="C683" s="29"/>
      <c r="D683" s="29"/>
      <c r="E683" s="30"/>
      <c r="F683" s="32"/>
      <c r="G683" s="3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32"/>
      <c r="B684" s="29"/>
      <c r="C684" s="29"/>
      <c r="D684" s="29"/>
      <c r="E684" s="30"/>
      <c r="F684" s="32"/>
      <c r="G684" s="3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32"/>
      <c r="B685" s="29"/>
      <c r="C685" s="29"/>
      <c r="D685" s="29"/>
      <c r="E685" s="30"/>
      <c r="F685" s="32"/>
      <c r="G685" s="3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32"/>
      <c r="B686" s="29"/>
      <c r="C686" s="29"/>
      <c r="D686" s="29"/>
      <c r="E686" s="30"/>
      <c r="F686" s="32"/>
      <c r="G686" s="3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32"/>
      <c r="B687" s="29"/>
      <c r="C687" s="29"/>
      <c r="D687" s="29"/>
      <c r="E687" s="30"/>
      <c r="F687" s="32"/>
      <c r="G687" s="3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32"/>
      <c r="B688" s="29"/>
      <c r="C688" s="29"/>
      <c r="D688" s="29"/>
      <c r="E688" s="30"/>
      <c r="F688" s="32"/>
      <c r="G688" s="3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32"/>
      <c r="B689" s="29"/>
      <c r="C689" s="29"/>
      <c r="D689" s="29"/>
      <c r="E689" s="30"/>
      <c r="F689" s="32"/>
      <c r="G689" s="3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32"/>
      <c r="B690" s="29"/>
      <c r="C690" s="29"/>
      <c r="D690" s="29"/>
      <c r="E690" s="30"/>
      <c r="F690" s="32"/>
      <c r="G690" s="3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32"/>
      <c r="B691" s="29"/>
      <c r="C691" s="29"/>
      <c r="D691" s="29"/>
      <c r="E691" s="30"/>
      <c r="F691" s="32"/>
      <c r="G691" s="3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32"/>
      <c r="B692" s="29"/>
      <c r="C692" s="29"/>
      <c r="D692" s="29"/>
      <c r="E692" s="30"/>
      <c r="F692" s="32"/>
      <c r="G692" s="3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32"/>
      <c r="B693" s="29"/>
      <c r="C693" s="29"/>
      <c r="D693" s="29"/>
      <c r="E693" s="30"/>
      <c r="F693" s="32"/>
      <c r="G693" s="3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32"/>
      <c r="B694" s="29"/>
      <c r="C694" s="29"/>
      <c r="D694" s="29"/>
      <c r="E694" s="30"/>
      <c r="F694" s="32"/>
      <c r="G694" s="3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32"/>
      <c r="B695" s="29"/>
      <c r="C695" s="29"/>
      <c r="D695" s="29"/>
      <c r="E695" s="30"/>
      <c r="F695" s="32"/>
      <c r="G695" s="3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32"/>
      <c r="B696" s="29"/>
      <c r="C696" s="29"/>
      <c r="D696" s="29"/>
      <c r="E696" s="30"/>
      <c r="F696" s="32"/>
      <c r="G696" s="3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32"/>
      <c r="B697" s="29"/>
      <c r="C697" s="29"/>
      <c r="D697" s="29"/>
      <c r="E697" s="30"/>
      <c r="F697" s="32"/>
      <c r="G697" s="3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32"/>
      <c r="B698" s="29"/>
      <c r="C698" s="29"/>
      <c r="D698" s="29"/>
      <c r="E698" s="30"/>
      <c r="F698" s="32"/>
      <c r="G698" s="3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32"/>
      <c r="B699" s="29"/>
      <c r="C699" s="29"/>
      <c r="D699" s="29"/>
      <c r="E699" s="30"/>
      <c r="F699" s="32"/>
      <c r="G699" s="3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32"/>
      <c r="B700" s="29"/>
      <c r="C700" s="29"/>
      <c r="D700" s="29"/>
      <c r="E700" s="30"/>
      <c r="F700" s="32"/>
      <c r="G700" s="3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32"/>
      <c r="B701" s="29"/>
      <c r="C701" s="29"/>
      <c r="D701" s="29"/>
      <c r="E701" s="30"/>
      <c r="F701" s="32"/>
      <c r="G701" s="3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32"/>
      <c r="B702" s="29"/>
      <c r="C702" s="29"/>
      <c r="D702" s="29"/>
      <c r="E702" s="30"/>
      <c r="F702" s="32"/>
      <c r="G702" s="3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32"/>
      <c r="B703" s="29"/>
      <c r="C703" s="29"/>
      <c r="D703" s="29"/>
      <c r="E703" s="30"/>
      <c r="F703" s="32"/>
      <c r="G703" s="3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32"/>
      <c r="B704" s="29"/>
      <c r="C704" s="29"/>
      <c r="D704" s="29"/>
      <c r="E704" s="30"/>
      <c r="F704" s="32"/>
      <c r="G704" s="3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32"/>
      <c r="B705" s="29"/>
      <c r="C705" s="29"/>
      <c r="D705" s="29"/>
      <c r="E705" s="30"/>
      <c r="F705" s="32"/>
      <c r="G705" s="3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32"/>
      <c r="B706" s="29"/>
      <c r="C706" s="29"/>
      <c r="D706" s="29"/>
      <c r="E706" s="30"/>
      <c r="F706" s="32"/>
      <c r="G706" s="3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32"/>
      <c r="B707" s="29"/>
      <c r="C707" s="29"/>
      <c r="D707" s="29"/>
      <c r="E707" s="30"/>
      <c r="F707" s="32"/>
      <c r="G707" s="3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32"/>
      <c r="B708" s="29"/>
      <c r="C708" s="29"/>
      <c r="D708" s="29"/>
      <c r="E708" s="30"/>
      <c r="F708" s="32"/>
      <c r="G708" s="3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32"/>
      <c r="B709" s="29"/>
      <c r="C709" s="29"/>
      <c r="D709" s="29"/>
      <c r="E709" s="30"/>
      <c r="F709" s="32"/>
      <c r="G709" s="3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32"/>
      <c r="B710" s="29"/>
      <c r="C710" s="29"/>
      <c r="D710" s="29"/>
      <c r="E710" s="30"/>
      <c r="F710" s="32"/>
      <c r="G710" s="3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32"/>
      <c r="B711" s="29"/>
      <c r="C711" s="29"/>
      <c r="D711" s="29"/>
      <c r="E711" s="30"/>
      <c r="F711" s="32"/>
      <c r="G711" s="3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32"/>
      <c r="B712" s="29"/>
      <c r="C712" s="29"/>
      <c r="D712" s="29"/>
      <c r="E712" s="30"/>
      <c r="F712" s="32"/>
      <c r="G712" s="3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32"/>
      <c r="B713" s="29"/>
      <c r="C713" s="29"/>
      <c r="D713" s="29"/>
      <c r="E713" s="30"/>
      <c r="F713" s="32"/>
      <c r="G713" s="3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32"/>
      <c r="B714" s="29"/>
      <c r="C714" s="29"/>
      <c r="D714" s="29"/>
      <c r="E714" s="30"/>
      <c r="F714" s="32"/>
      <c r="G714" s="3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32"/>
      <c r="B715" s="29"/>
      <c r="C715" s="29"/>
      <c r="D715" s="29"/>
      <c r="E715" s="30"/>
      <c r="F715" s="32"/>
      <c r="G715" s="3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32"/>
      <c r="B716" s="29"/>
      <c r="C716" s="29"/>
      <c r="D716" s="29"/>
      <c r="E716" s="30"/>
      <c r="F716" s="32"/>
      <c r="G716" s="3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32"/>
      <c r="B717" s="29"/>
      <c r="C717" s="29"/>
      <c r="D717" s="29"/>
      <c r="E717" s="30"/>
      <c r="F717" s="32"/>
      <c r="G717" s="3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32"/>
      <c r="B718" s="29"/>
      <c r="C718" s="29"/>
      <c r="D718" s="29"/>
      <c r="E718" s="30"/>
      <c r="F718" s="32"/>
      <c r="G718" s="3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32"/>
      <c r="B719" s="29"/>
      <c r="C719" s="29"/>
      <c r="D719" s="29"/>
      <c r="E719" s="30"/>
      <c r="F719" s="32"/>
      <c r="G719" s="3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32"/>
      <c r="B720" s="29"/>
      <c r="C720" s="29"/>
      <c r="D720" s="29"/>
      <c r="E720" s="30"/>
      <c r="F720" s="32"/>
      <c r="G720" s="3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32"/>
      <c r="B721" s="29"/>
      <c r="C721" s="29"/>
      <c r="D721" s="29"/>
      <c r="E721" s="30"/>
      <c r="F721" s="32"/>
      <c r="G721" s="3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32"/>
      <c r="B722" s="29"/>
      <c r="C722" s="29"/>
      <c r="D722" s="29"/>
      <c r="E722" s="30"/>
      <c r="F722" s="32"/>
      <c r="G722" s="3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32"/>
      <c r="B723" s="29"/>
      <c r="C723" s="29"/>
      <c r="D723" s="29"/>
      <c r="E723" s="30"/>
      <c r="F723" s="32"/>
      <c r="G723" s="3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32"/>
      <c r="B724" s="29"/>
      <c r="C724" s="29"/>
      <c r="D724" s="29"/>
      <c r="E724" s="30"/>
      <c r="F724" s="32"/>
      <c r="G724" s="3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32"/>
      <c r="B725" s="29"/>
      <c r="C725" s="29"/>
      <c r="D725" s="29"/>
      <c r="E725" s="30"/>
      <c r="F725" s="32"/>
      <c r="G725" s="3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32"/>
      <c r="B726" s="29"/>
      <c r="C726" s="29"/>
      <c r="D726" s="29"/>
      <c r="E726" s="30"/>
      <c r="F726" s="32"/>
      <c r="G726" s="3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32"/>
      <c r="B727" s="29"/>
      <c r="C727" s="29"/>
      <c r="D727" s="29"/>
      <c r="E727" s="30"/>
      <c r="F727" s="32"/>
      <c r="G727" s="3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32"/>
      <c r="B728" s="29"/>
      <c r="C728" s="29"/>
      <c r="D728" s="29"/>
      <c r="E728" s="30"/>
      <c r="F728" s="32"/>
      <c r="G728" s="3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32"/>
      <c r="B729" s="29"/>
      <c r="C729" s="29"/>
      <c r="D729" s="29"/>
      <c r="E729" s="30"/>
      <c r="F729" s="32"/>
      <c r="G729" s="3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32"/>
      <c r="B730" s="29"/>
      <c r="C730" s="29"/>
      <c r="D730" s="29"/>
      <c r="E730" s="30"/>
      <c r="F730" s="32"/>
      <c r="G730" s="3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32"/>
      <c r="B731" s="29"/>
      <c r="C731" s="29"/>
      <c r="D731" s="29"/>
      <c r="E731" s="30"/>
      <c r="F731" s="32"/>
      <c r="G731" s="3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32"/>
      <c r="B732" s="29"/>
      <c r="C732" s="29"/>
      <c r="D732" s="29"/>
      <c r="E732" s="30"/>
      <c r="F732" s="32"/>
      <c r="G732" s="3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32"/>
      <c r="B733" s="29"/>
      <c r="C733" s="29"/>
      <c r="D733" s="29"/>
      <c r="E733" s="30"/>
      <c r="F733" s="32"/>
      <c r="G733" s="3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32"/>
      <c r="B734" s="29"/>
      <c r="C734" s="29"/>
      <c r="D734" s="29"/>
      <c r="E734" s="30"/>
      <c r="F734" s="32"/>
      <c r="G734" s="3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32"/>
      <c r="B735" s="29"/>
      <c r="C735" s="29"/>
      <c r="D735" s="29"/>
      <c r="E735" s="30"/>
      <c r="F735" s="32"/>
      <c r="G735" s="3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32"/>
      <c r="B736" s="29"/>
      <c r="C736" s="29"/>
      <c r="D736" s="29"/>
      <c r="E736" s="30"/>
      <c r="F736" s="32"/>
      <c r="G736" s="3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32"/>
      <c r="B737" s="29"/>
      <c r="C737" s="29"/>
      <c r="D737" s="29"/>
      <c r="E737" s="30"/>
      <c r="F737" s="32"/>
      <c r="G737" s="3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32"/>
      <c r="B738" s="29"/>
      <c r="C738" s="29"/>
      <c r="D738" s="29"/>
      <c r="E738" s="30"/>
      <c r="F738" s="32"/>
      <c r="G738" s="3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32"/>
      <c r="B739" s="29"/>
      <c r="C739" s="29"/>
      <c r="D739" s="29"/>
      <c r="E739" s="30"/>
      <c r="F739" s="32"/>
      <c r="G739" s="3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32"/>
      <c r="B740" s="29"/>
      <c r="C740" s="29"/>
      <c r="D740" s="29"/>
      <c r="E740" s="30"/>
      <c r="F740" s="32"/>
      <c r="G740" s="3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32"/>
      <c r="B741" s="29"/>
      <c r="C741" s="29"/>
      <c r="D741" s="29"/>
      <c r="E741" s="30"/>
      <c r="F741" s="32"/>
      <c r="G741" s="3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32"/>
      <c r="B742" s="29"/>
      <c r="C742" s="29"/>
      <c r="D742" s="29"/>
      <c r="E742" s="30"/>
      <c r="F742" s="32"/>
      <c r="G742" s="3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32"/>
      <c r="B743" s="29"/>
      <c r="C743" s="29"/>
      <c r="D743" s="29"/>
      <c r="E743" s="30"/>
      <c r="F743" s="32"/>
      <c r="G743" s="3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32"/>
      <c r="B744" s="29"/>
      <c r="C744" s="29"/>
      <c r="D744" s="29"/>
      <c r="E744" s="30"/>
      <c r="F744" s="32"/>
      <c r="G744" s="3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32"/>
      <c r="B745" s="29"/>
      <c r="C745" s="29"/>
      <c r="D745" s="29"/>
      <c r="E745" s="30"/>
      <c r="F745" s="32"/>
      <c r="G745" s="3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32"/>
      <c r="B746" s="29"/>
      <c r="C746" s="29"/>
      <c r="D746" s="29"/>
      <c r="E746" s="30"/>
      <c r="F746" s="32"/>
      <c r="G746" s="3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32"/>
      <c r="B747" s="29"/>
      <c r="C747" s="29"/>
      <c r="D747" s="29"/>
      <c r="E747" s="30"/>
      <c r="F747" s="32"/>
      <c r="G747" s="3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32"/>
      <c r="B748" s="29"/>
      <c r="C748" s="29"/>
      <c r="D748" s="29"/>
      <c r="E748" s="30"/>
      <c r="F748" s="32"/>
      <c r="G748" s="3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32"/>
      <c r="B749" s="29"/>
      <c r="C749" s="29"/>
      <c r="D749" s="29"/>
      <c r="E749" s="30"/>
      <c r="F749" s="32"/>
      <c r="G749" s="3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32"/>
      <c r="B750" s="29"/>
      <c r="C750" s="29"/>
      <c r="D750" s="29"/>
      <c r="E750" s="30"/>
      <c r="F750" s="32"/>
      <c r="G750" s="3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32"/>
      <c r="B751" s="29"/>
      <c r="C751" s="29"/>
      <c r="D751" s="29"/>
      <c r="E751" s="30"/>
      <c r="F751" s="32"/>
      <c r="G751" s="3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32"/>
      <c r="B752" s="29"/>
      <c r="C752" s="29"/>
      <c r="D752" s="29"/>
      <c r="E752" s="30"/>
      <c r="F752" s="32"/>
      <c r="G752" s="3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32"/>
      <c r="B753" s="29"/>
      <c r="C753" s="29"/>
      <c r="D753" s="29"/>
      <c r="E753" s="30"/>
      <c r="F753" s="32"/>
      <c r="G753" s="3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32"/>
      <c r="B754" s="29"/>
      <c r="C754" s="29"/>
      <c r="D754" s="29"/>
      <c r="E754" s="30"/>
      <c r="F754" s="32"/>
      <c r="G754" s="3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32"/>
      <c r="B755" s="29"/>
      <c r="C755" s="29"/>
      <c r="D755" s="29"/>
      <c r="E755" s="30"/>
      <c r="F755" s="32"/>
      <c r="G755" s="3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32"/>
      <c r="B756" s="29"/>
      <c r="C756" s="29"/>
      <c r="D756" s="29"/>
      <c r="E756" s="30"/>
      <c r="F756" s="32"/>
      <c r="G756" s="3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32"/>
      <c r="B757" s="29"/>
      <c r="C757" s="29"/>
      <c r="D757" s="29"/>
      <c r="E757" s="30"/>
      <c r="F757" s="32"/>
      <c r="G757" s="3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32"/>
      <c r="B758" s="29"/>
      <c r="C758" s="29"/>
      <c r="D758" s="29"/>
      <c r="E758" s="30"/>
      <c r="F758" s="32"/>
      <c r="G758" s="3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32"/>
      <c r="B759" s="29"/>
      <c r="C759" s="29"/>
      <c r="D759" s="29"/>
      <c r="E759" s="30"/>
      <c r="F759" s="32"/>
      <c r="G759" s="3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32"/>
      <c r="B760" s="29"/>
      <c r="C760" s="29"/>
      <c r="D760" s="29"/>
      <c r="E760" s="30"/>
      <c r="F760" s="32"/>
      <c r="G760" s="3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32"/>
      <c r="B761" s="29"/>
      <c r="C761" s="29"/>
      <c r="D761" s="29"/>
      <c r="E761" s="30"/>
      <c r="F761" s="32"/>
      <c r="G761" s="3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32"/>
      <c r="B762" s="29"/>
      <c r="C762" s="29"/>
      <c r="D762" s="29"/>
      <c r="E762" s="30"/>
      <c r="F762" s="32"/>
      <c r="G762" s="3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32"/>
      <c r="B763" s="29"/>
      <c r="C763" s="29"/>
      <c r="D763" s="29"/>
      <c r="E763" s="30"/>
      <c r="F763" s="32"/>
      <c r="G763" s="3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32"/>
      <c r="B764" s="29"/>
      <c r="C764" s="29"/>
      <c r="D764" s="29"/>
      <c r="E764" s="30"/>
      <c r="F764" s="32"/>
      <c r="G764" s="3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32"/>
      <c r="B765" s="29"/>
      <c r="C765" s="29"/>
      <c r="D765" s="29"/>
      <c r="E765" s="30"/>
      <c r="F765" s="32"/>
      <c r="G765" s="3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32"/>
      <c r="B766" s="29"/>
      <c r="C766" s="29"/>
      <c r="D766" s="29"/>
      <c r="E766" s="30"/>
      <c r="F766" s="32"/>
      <c r="G766" s="3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32"/>
      <c r="B767" s="29"/>
      <c r="C767" s="29"/>
      <c r="D767" s="29"/>
      <c r="E767" s="30"/>
      <c r="F767" s="32"/>
      <c r="G767" s="3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32"/>
      <c r="B768" s="29"/>
      <c r="C768" s="29"/>
      <c r="D768" s="29"/>
      <c r="E768" s="30"/>
      <c r="F768" s="32"/>
      <c r="G768" s="3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32"/>
      <c r="B769" s="29"/>
      <c r="C769" s="29"/>
      <c r="D769" s="29"/>
      <c r="E769" s="30"/>
      <c r="F769" s="32"/>
      <c r="G769" s="3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32"/>
      <c r="B770" s="29"/>
      <c r="C770" s="29"/>
      <c r="D770" s="29"/>
      <c r="E770" s="30"/>
      <c r="F770" s="32"/>
      <c r="G770" s="3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32"/>
      <c r="B771" s="29"/>
      <c r="C771" s="29"/>
      <c r="D771" s="29"/>
      <c r="E771" s="30"/>
      <c r="F771" s="32"/>
      <c r="G771" s="3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32"/>
      <c r="B772" s="29"/>
      <c r="C772" s="29"/>
      <c r="D772" s="29"/>
      <c r="E772" s="30"/>
      <c r="F772" s="32"/>
      <c r="G772" s="3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32"/>
      <c r="B773" s="29"/>
      <c r="C773" s="29"/>
      <c r="D773" s="29"/>
      <c r="E773" s="30"/>
      <c r="F773" s="32"/>
      <c r="G773" s="3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32"/>
      <c r="B774" s="29"/>
      <c r="C774" s="29"/>
      <c r="D774" s="29"/>
      <c r="E774" s="30"/>
      <c r="F774" s="32"/>
      <c r="G774" s="3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32"/>
      <c r="B775" s="29"/>
      <c r="C775" s="29"/>
      <c r="D775" s="29"/>
      <c r="E775" s="30"/>
      <c r="F775" s="32"/>
      <c r="G775" s="3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32"/>
      <c r="B776" s="29"/>
      <c r="C776" s="29"/>
      <c r="D776" s="29"/>
      <c r="E776" s="30"/>
      <c r="F776" s="32"/>
      <c r="G776" s="3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32"/>
      <c r="B777" s="29"/>
      <c r="C777" s="29"/>
      <c r="D777" s="29"/>
      <c r="E777" s="30"/>
      <c r="F777" s="32"/>
      <c r="G777" s="3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32"/>
      <c r="B778" s="29"/>
      <c r="C778" s="29"/>
      <c r="D778" s="29"/>
      <c r="E778" s="30"/>
      <c r="F778" s="32"/>
      <c r="G778" s="3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32"/>
      <c r="B779" s="29"/>
      <c r="C779" s="29"/>
      <c r="D779" s="29"/>
      <c r="E779" s="30"/>
      <c r="F779" s="32"/>
      <c r="G779" s="3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32"/>
      <c r="B780" s="29"/>
      <c r="C780" s="29"/>
      <c r="D780" s="29"/>
      <c r="E780" s="30"/>
      <c r="F780" s="32"/>
      <c r="G780" s="3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32"/>
      <c r="B781" s="29"/>
      <c r="C781" s="29"/>
      <c r="D781" s="29"/>
      <c r="E781" s="30"/>
      <c r="F781" s="32"/>
      <c r="G781" s="3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32"/>
      <c r="B782" s="29"/>
      <c r="C782" s="29"/>
      <c r="D782" s="29"/>
      <c r="E782" s="30"/>
      <c r="F782" s="32"/>
      <c r="G782" s="3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32"/>
      <c r="B783" s="29"/>
      <c r="C783" s="29"/>
      <c r="D783" s="29"/>
      <c r="E783" s="30"/>
      <c r="F783" s="32"/>
      <c r="G783" s="3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32"/>
      <c r="B784" s="29"/>
      <c r="C784" s="29"/>
      <c r="D784" s="29"/>
      <c r="E784" s="30"/>
      <c r="F784" s="32"/>
      <c r="G784" s="3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32"/>
      <c r="B785" s="29"/>
      <c r="C785" s="29"/>
      <c r="D785" s="29"/>
      <c r="E785" s="30"/>
      <c r="F785" s="32"/>
      <c r="G785" s="3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32"/>
      <c r="B786" s="29"/>
      <c r="C786" s="29"/>
      <c r="D786" s="29"/>
      <c r="E786" s="30"/>
      <c r="F786" s="32"/>
      <c r="G786" s="3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32"/>
      <c r="B787" s="29"/>
      <c r="C787" s="29"/>
      <c r="D787" s="29"/>
      <c r="E787" s="30"/>
      <c r="F787" s="32"/>
      <c r="G787" s="3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32"/>
      <c r="B788" s="29"/>
      <c r="C788" s="29"/>
      <c r="D788" s="29"/>
      <c r="E788" s="30"/>
      <c r="F788" s="32"/>
      <c r="G788" s="3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32"/>
      <c r="B789" s="29"/>
      <c r="C789" s="29"/>
      <c r="D789" s="29"/>
      <c r="E789" s="30"/>
      <c r="F789" s="32"/>
      <c r="G789" s="3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32"/>
      <c r="B790" s="29"/>
      <c r="C790" s="29"/>
      <c r="D790" s="29"/>
      <c r="E790" s="30"/>
      <c r="F790" s="32"/>
      <c r="G790" s="3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32"/>
      <c r="B791" s="29"/>
      <c r="C791" s="29"/>
      <c r="D791" s="29"/>
      <c r="E791" s="30"/>
      <c r="F791" s="32"/>
      <c r="G791" s="3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32"/>
      <c r="B792" s="29"/>
      <c r="C792" s="29"/>
      <c r="D792" s="29"/>
      <c r="E792" s="30"/>
      <c r="F792" s="32"/>
      <c r="G792" s="3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32"/>
      <c r="B793" s="29"/>
      <c r="C793" s="29"/>
      <c r="D793" s="29"/>
      <c r="E793" s="30"/>
      <c r="F793" s="32"/>
      <c r="G793" s="3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32"/>
      <c r="B794" s="29"/>
      <c r="C794" s="29"/>
      <c r="D794" s="29"/>
      <c r="E794" s="30"/>
      <c r="F794" s="32"/>
      <c r="G794" s="3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32"/>
      <c r="B795" s="29"/>
      <c r="C795" s="29"/>
      <c r="D795" s="29"/>
      <c r="E795" s="30"/>
      <c r="F795" s="32"/>
      <c r="G795" s="3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32"/>
      <c r="B796" s="29"/>
      <c r="C796" s="29"/>
      <c r="D796" s="29"/>
      <c r="E796" s="30"/>
      <c r="F796" s="32"/>
      <c r="G796" s="3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32"/>
      <c r="B797" s="29"/>
      <c r="C797" s="29"/>
      <c r="D797" s="29"/>
      <c r="E797" s="30"/>
      <c r="F797" s="32"/>
      <c r="G797" s="3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32"/>
      <c r="B798" s="29"/>
      <c r="C798" s="29"/>
      <c r="D798" s="29"/>
      <c r="E798" s="30"/>
      <c r="F798" s="32"/>
      <c r="G798" s="3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32"/>
      <c r="B799" s="29"/>
      <c r="C799" s="29"/>
      <c r="D799" s="29"/>
      <c r="E799" s="30"/>
      <c r="F799" s="32"/>
      <c r="G799" s="3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32"/>
      <c r="B800" s="29"/>
      <c r="C800" s="29"/>
      <c r="D800" s="29"/>
      <c r="E800" s="30"/>
      <c r="F800" s="32"/>
      <c r="G800" s="3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32"/>
      <c r="B801" s="29"/>
      <c r="C801" s="29"/>
      <c r="D801" s="29"/>
      <c r="E801" s="30"/>
      <c r="F801" s="32"/>
      <c r="G801" s="3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32"/>
      <c r="B802" s="29"/>
      <c r="C802" s="29"/>
      <c r="D802" s="29"/>
      <c r="E802" s="30"/>
      <c r="F802" s="32"/>
      <c r="G802" s="3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32"/>
      <c r="B803" s="29"/>
      <c r="C803" s="29"/>
      <c r="D803" s="29"/>
      <c r="E803" s="30"/>
      <c r="F803" s="32"/>
      <c r="G803" s="3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32"/>
      <c r="B804" s="29"/>
      <c r="C804" s="29"/>
      <c r="D804" s="29"/>
      <c r="E804" s="30"/>
      <c r="F804" s="32"/>
      <c r="G804" s="3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32"/>
      <c r="B805" s="29"/>
      <c r="C805" s="29"/>
      <c r="D805" s="29"/>
      <c r="E805" s="30"/>
      <c r="F805" s="32"/>
      <c r="G805" s="3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32"/>
      <c r="B806" s="29"/>
      <c r="C806" s="29"/>
      <c r="D806" s="29"/>
      <c r="E806" s="30"/>
      <c r="F806" s="32"/>
      <c r="G806" s="3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32"/>
      <c r="B807" s="29"/>
      <c r="C807" s="29"/>
      <c r="D807" s="29"/>
      <c r="E807" s="30"/>
      <c r="F807" s="32"/>
      <c r="G807" s="3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32"/>
      <c r="B808" s="29"/>
      <c r="C808" s="29"/>
      <c r="D808" s="29"/>
      <c r="E808" s="30"/>
      <c r="F808" s="32"/>
      <c r="G808" s="3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32"/>
      <c r="B809" s="29"/>
      <c r="C809" s="29"/>
      <c r="D809" s="29"/>
      <c r="E809" s="30"/>
      <c r="F809" s="32"/>
      <c r="G809" s="3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32"/>
      <c r="B810" s="29"/>
      <c r="C810" s="29"/>
      <c r="D810" s="29"/>
      <c r="E810" s="30"/>
      <c r="F810" s="32"/>
      <c r="G810" s="3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32"/>
      <c r="B811" s="29"/>
      <c r="C811" s="29"/>
      <c r="D811" s="29"/>
      <c r="E811" s="30"/>
      <c r="F811" s="32"/>
      <c r="G811" s="3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32"/>
      <c r="B812" s="29"/>
      <c r="C812" s="29"/>
      <c r="D812" s="29"/>
      <c r="E812" s="30"/>
      <c r="F812" s="32"/>
      <c r="G812" s="3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32"/>
      <c r="B813" s="29"/>
      <c r="C813" s="29"/>
      <c r="D813" s="29"/>
      <c r="E813" s="30"/>
      <c r="F813" s="32"/>
      <c r="G813" s="3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32"/>
      <c r="B814" s="29"/>
      <c r="C814" s="29"/>
      <c r="D814" s="29"/>
      <c r="E814" s="30"/>
      <c r="F814" s="32"/>
      <c r="G814" s="3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32"/>
      <c r="B815" s="29"/>
      <c r="C815" s="29"/>
      <c r="D815" s="29"/>
      <c r="E815" s="30"/>
      <c r="F815" s="32"/>
      <c r="G815" s="3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32"/>
      <c r="B816" s="29"/>
      <c r="C816" s="29"/>
      <c r="D816" s="29"/>
      <c r="E816" s="30"/>
      <c r="F816" s="32"/>
      <c r="G816" s="3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32"/>
      <c r="B817" s="29"/>
      <c r="C817" s="29"/>
      <c r="D817" s="29"/>
      <c r="E817" s="30"/>
      <c r="F817" s="32"/>
      <c r="G817" s="3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32"/>
      <c r="B818" s="29"/>
      <c r="C818" s="29"/>
      <c r="D818" s="29"/>
      <c r="E818" s="30"/>
      <c r="F818" s="32"/>
      <c r="G818" s="3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32"/>
      <c r="B819" s="29"/>
      <c r="C819" s="29"/>
      <c r="D819" s="29"/>
      <c r="E819" s="30"/>
      <c r="F819" s="32"/>
      <c r="G819" s="3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32"/>
      <c r="B820" s="29"/>
      <c r="C820" s="29"/>
      <c r="D820" s="29"/>
      <c r="E820" s="30"/>
      <c r="F820" s="32"/>
      <c r="G820" s="3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32"/>
      <c r="B821" s="29"/>
      <c r="C821" s="29"/>
      <c r="D821" s="29"/>
      <c r="E821" s="30"/>
      <c r="F821" s="32"/>
      <c r="G821" s="3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32"/>
      <c r="B822" s="29"/>
      <c r="C822" s="29"/>
      <c r="D822" s="29"/>
      <c r="E822" s="30"/>
      <c r="F822" s="32"/>
      <c r="G822" s="3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32"/>
      <c r="B823" s="29"/>
      <c r="C823" s="29"/>
      <c r="D823" s="29"/>
      <c r="E823" s="30"/>
      <c r="F823" s="32"/>
      <c r="G823" s="3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32"/>
      <c r="B824" s="29"/>
      <c r="C824" s="29"/>
      <c r="D824" s="29"/>
      <c r="E824" s="30"/>
      <c r="F824" s="32"/>
      <c r="G824" s="3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32"/>
      <c r="B825" s="29"/>
      <c r="C825" s="29"/>
      <c r="D825" s="29"/>
      <c r="E825" s="30"/>
      <c r="F825" s="32"/>
      <c r="G825" s="3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32"/>
      <c r="B826" s="29"/>
      <c r="C826" s="29"/>
      <c r="D826" s="29"/>
      <c r="E826" s="30"/>
      <c r="F826" s="32"/>
      <c r="G826" s="3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32"/>
      <c r="B827" s="29"/>
      <c r="C827" s="29"/>
      <c r="D827" s="29"/>
      <c r="E827" s="30"/>
      <c r="F827" s="32"/>
      <c r="G827" s="3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32"/>
      <c r="B828" s="29"/>
      <c r="C828" s="29"/>
      <c r="D828" s="29"/>
      <c r="E828" s="30"/>
      <c r="F828" s="32"/>
      <c r="G828" s="3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32"/>
      <c r="B829" s="29"/>
      <c r="C829" s="29"/>
      <c r="D829" s="29"/>
      <c r="E829" s="30"/>
      <c r="F829" s="32"/>
      <c r="G829" s="3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32"/>
      <c r="B830" s="29"/>
      <c r="C830" s="29"/>
      <c r="D830" s="29"/>
      <c r="E830" s="30"/>
      <c r="F830" s="32"/>
      <c r="G830" s="3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32"/>
      <c r="B831" s="29"/>
      <c r="C831" s="29"/>
      <c r="D831" s="29"/>
      <c r="E831" s="30"/>
      <c r="F831" s="32"/>
      <c r="G831" s="3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32"/>
      <c r="B832" s="29"/>
      <c r="C832" s="29"/>
      <c r="D832" s="29"/>
      <c r="E832" s="30"/>
      <c r="F832" s="32"/>
      <c r="G832" s="3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32"/>
      <c r="B833" s="29"/>
      <c r="C833" s="29"/>
      <c r="D833" s="29"/>
      <c r="E833" s="30"/>
      <c r="F833" s="32"/>
      <c r="G833" s="3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32"/>
      <c r="B834" s="29"/>
      <c r="C834" s="29"/>
      <c r="D834" s="29"/>
      <c r="E834" s="30"/>
      <c r="F834" s="32"/>
      <c r="G834" s="3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32"/>
      <c r="B835" s="29"/>
      <c r="C835" s="29"/>
      <c r="D835" s="29"/>
      <c r="E835" s="30"/>
      <c r="F835" s="32"/>
      <c r="G835" s="3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32"/>
      <c r="B836" s="29"/>
      <c r="C836" s="29"/>
      <c r="D836" s="29"/>
      <c r="E836" s="30"/>
      <c r="F836" s="32"/>
      <c r="G836" s="3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32"/>
      <c r="B837" s="29"/>
      <c r="C837" s="29"/>
      <c r="D837" s="29"/>
      <c r="E837" s="30"/>
      <c r="F837" s="32"/>
      <c r="G837" s="3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32"/>
      <c r="B838" s="29"/>
      <c r="C838" s="29"/>
      <c r="D838" s="29"/>
      <c r="E838" s="30"/>
      <c r="F838" s="32"/>
      <c r="G838" s="3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32"/>
      <c r="B839" s="29"/>
      <c r="C839" s="29"/>
      <c r="D839" s="29"/>
      <c r="E839" s="30"/>
      <c r="F839" s="32"/>
      <c r="G839" s="3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32"/>
      <c r="B840" s="29"/>
      <c r="C840" s="29"/>
      <c r="D840" s="29"/>
      <c r="E840" s="30"/>
      <c r="F840" s="32"/>
      <c r="G840" s="3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32"/>
      <c r="B841" s="29"/>
      <c r="C841" s="29"/>
      <c r="D841" s="29"/>
      <c r="E841" s="30"/>
      <c r="F841" s="32"/>
      <c r="G841" s="3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32"/>
      <c r="B842" s="29"/>
      <c r="C842" s="29"/>
      <c r="D842" s="29"/>
      <c r="E842" s="30"/>
      <c r="F842" s="32"/>
      <c r="G842" s="3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32"/>
      <c r="B843" s="29"/>
      <c r="C843" s="29"/>
      <c r="D843" s="29"/>
      <c r="E843" s="30"/>
      <c r="F843" s="32"/>
      <c r="G843" s="3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32"/>
      <c r="B844" s="29"/>
      <c r="C844" s="29"/>
      <c r="D844" s="29"/>
      <c r="E844" s="30"/>
      <c r="F844" s="32"/>
      <c r="G844" s="3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32"/>
      <c r="B845" s="29"/>
      <c r="C845" s="29"/>
      <c r="D845" s="29"/>
      <c r="E845" s="30"/>
      <c r="F845" s="32"/>
      <c r="G845" s="3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32"/>
      <c r="B846" s="29"/>
      <c r="C846" s="29"/>
      <c r="D846" s="29"/>
      <c r="E846" s="30"/>
      <c r="F846" s="32"/>
      <c r="G846" s="3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32"/>
      <c r="B847" s="29"/>
      <c r="C847" s="29"/>
      <c r="D847" s="29"/>
      <c r="E847" s="30"/>
      <c r="F847" s="32"/>
      <c r="G847" s="3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32"/>
      <c r="B848" s="29"/>
      <c r="C848" s="29"/>
      <c r="D848" s="29"/>
      <c r="E848" s="30"/>
      <c r="F848" s="32"/>
      <c r="G848" s="3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32"/>
      <c r="B849" s="29"/>
      <c r="C849" s="29"/>
      <c r="D849" s="29"/>
      <c r="E849" s="30"/>
      <c r="F849" s="32"/>
      <c r="G849" s="3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32"/>
      <c r="B850" s="29"/>
      <c r="C850" s="29"/>
      <c r="D850" s="29"/>
      <c r="E850" s="30"/>
      <c r="F850" s="32"/>
      <c r="G850" s="3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32"/>
      <c r="B851" s="29"/>
      <c r="C851" s="29"/>
      <c r="D851" s="29"/>
      <c r="E851" s="30"/>
      <c r="F851" s="32"/>
      <c r="G851" s="3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32"/>
      <c r="B852" s="29"/>
      <c r="C852" s="29"/>
      <c r="D852" s="29"/>
      <c r="E852" s="30"/>
      <c r="F852" s="32"/>
      <c r="G852" s="3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32"/>
      <c r="B853" s="29"/>
      <c r="C853" s="29"/>
      <c r="D853" s="29"/>
      <c r="E853" s="30"/>
      <c r="F853" s="32"/>
      <c r="G853" s="3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32"/>
      <c r="B854" s="29"/>
      <c r="C854" s="29"/>
      <c r="D854" s="29"/>
      <c r="E854" s="30"/>
      <c r="F854" s="32"/>
      <c r="G854" s="3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32"/>
      <c r="B855" s="29"/>
      <c r="C855" s="29"/>
      <c r="D855" s="29"/>
      <c r="E855" s="30"/>
      <c r="F855" s="32"/>
      <c r="G855" s="3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32"/>
      <c r="B856" s="29"/>
      <c r="C856" s="29"/>
      <c r="D856" s="29"/>
      <c r="E856" s="30"/>
      <c r="F856" s="32"/>
      <c r="G856" s="3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32"/>
      <c r="B857" s="29"/>
      <c r="C857" s="29"/>
      <c r="D857" s="29"/>
      <c r="E857" s="30"/>
      <c r="F857" s="32"/>
      <c r="G857" s="3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32"/>
      <c r="B858" s="29"/>
      <c r="C858" s="29"/>
      <c r="D858" s="29"/>
      <c r="E858" s="30"/>
      <c r="F858" s="32"/>
      <c r="G858" s="3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32"/>
      <c r="B859" s="29"/>
      <c r="C859" s="29"/>
      <c r="D859" s="29"/>
      <c r="E859" s="30"/>
      <c r="F859" s="32"/>
      <c r="G859" s="3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32"/>
      <c r="B860" s="29"/>
      <c r="C860" s="29"/>
      <c r="D860" s="29"/>
      <c r="E860" s="30"/>
      <c r="F860" s="32"/>
      <c r="G860" s="3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32"/>
      <c r="B861" s="29"/>
      <c r="C861" s="29"/>
      <c r="D861" s="29"/>
      <c r="E861" s="30"/>
      <c r="F861" s="32"/>
      <c r="G861" s="3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32"/>
      <c r="B862" s="29"/>
      <c r="C862" s="29"/>
      <c r="D862" s="29"/>
      <c r="E862" s="30"/>
      <c r="F862" s="32"/>
      <c r="G862" s="3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32"/>
      <c r="B863" s="29"/>
      <c r="C863" s="29"/>
      <c r="D863" s="29"/>
      <c r="E863" s="30"/>
      <c r="F863" s="32"/>
      <c r="G863" s="3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32"/>
      <c r="B864" s="29"/>
      <c r="C864" s="29"/>
      <c r="D864" s="29"/>
      <c r="E864" s="30"/>
      <c r="F864" s="32"/>
      <c r="G864" s="3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32"/>
      <c r="B865" s="29"/>
      <c r="C865" s="29"/>
      <c r="D865" s="29"/>
      <c r="E865" s="30"/>
      <c r="F865" s="32"/>
      <c r="G865" s="3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32"/>
      <c r="B866" s="29"/>
      <c r="C866" s="29"/>
      <c r="D866" s="29"/>
      <c r="E866" s="30"/>
      <c r="F866" s="32"/>
      <c r="G866" s="3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32"/>
      <c r="B867" s="29"/>
      <c r="C867" s="29"/>
      <c r="D867" s="29"/>
      <c r="E867" s="30"/>
      <c r="F867" s="32"/>
      <c r="G867" s="3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32"/>
      <c r="B868" s="29"/>
      <c r="C868" s="29"/>
      <c r="D868" s="29"/>
      <c r="E868" s="30"/>
      <c r="F868" s="32"/>
      <c r="G868" s="3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32"/>
      <c r="B869" s="29"/>
      <c r="C869" s="29"/>
      <c r="D869" s="29"/>
      <c r="E869" s="30"/>
      <c r="F869" s="32"/>
      <c r="G869" s="3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32"/>
      <c r="B870" s="29"/>
      <c r="C870" s="29"/>
      <c r="D870" s="29"/>
      <c r="E870" s="30"/>
      <c r="F870" s="32"/>
      <c r="G870" s="3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32"/>
      <c r="B871" s="29"/>
      <c r="C871" s="29"/>
      <c r="D871" s="29"/>
      <c r="E871" s="30"/>
      <c r="F871" s="32"/>
      <c r="G871" s="3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32"/>
      <c r="B872" s="29"/>
      <c r="C872" s="29"/>
      <c r="D872" s="29"/>
      <c r="E872" s="30"/>
      <c r="F872" s="32"/>
      <c r="G872" s="3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32"/>
      <c r="B873" s="29"/>
      <c r="C873" s="29"/>
      <c r="D873" s="29"/>
      <c r="E873" s="30"/>
      <c r="F873" s="32"/>
      <c r="G873" s="3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32"/>
      <c r="B874" s="29"/>
      <c r="C874" s="29"/>
      <c r="D874" s="29"/>
      <c r="E874" s="30"/>
      <c r="F874" s="32"/>
      <c r="G874" s="3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32"/>
      <c r="B875" s="29"/>
      <c r="C875" s="29"/>
      <c r="D875" s="29"/>
      <c r="E875" s="30"/>
      <c r="F875" s="32"/>
      <c r="G875" s="3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32"/>
      <c r="B876" s="29"/>
      <c r="C876" s="29"/>
      <c r="D876" s="29"/>
      <c r="E876" s="30"/>
      <c r="F876" s="32"/>
      <c r="G876" s="3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32"/>
      <c r="B877" s="29"/>
      <c r="C877" s="29"/>
      <c r="D877" s="29"/>
      <c r="E877" s="30"/>
      <c r="F877" s="32"/>
      <c r="G877" s="3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32"/>
      <c r="B878" s="29"/>
      <c r="C878" s="29"/>
      <c r="D878" s="29"/>
      <c r="E878" s="30"/>
      <c r="F878" s="32"/>
      <c r="G878" s="3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32"/>
      <c r="B879" s="29"/>
      <c r="C879" s="29"/>
      <c r="D879" s="29"/>
      <c r="E879" s="30"/>
      <c r="F879" s="32"/>
      <c r="G879" s="3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32"/>
      <c r="B880" s="29"/>
      <c r="C880" s="29"/>
      <c r="D880" s="29"/>
      <c r="E880" s="30"/>
      <c r="F880" s="32"/>
      <c r="G880" s="3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32"/>
      <c r="B881" s="29"/>
      <c r="C881" s="29"/>
      <c r="D881" s="29"/>
      <c r="E881" s="30"/>
      <c r="F881" s="32"/>
      <c r="G881" s="3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32"/>
      <c r="B882" s="29"/>
      <c r="C882" s="29"/>
      <c r="D882" s="29"/>
      <c r="E882" s="30"/>
      <c r="F882" s="32"/>
      <c r="G882" s="3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32"/>
      <c r="B883" s="29"/>
      <c r="C883" s="29"/>
      <c r="D883" s="29"/>
      <c r="E883" s="30"/>
      <c r="F883" s="32"/>
      <c r="G883" s="3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32"/>
      <c r="B884" s="29"/>
      <c r="C884" s="29"/>
      <c r="D884" s="29"/>
      <c r="E884" s="30"/>
      <c r="F884" s="32"/>
      <c r="G884" s="3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32"/>
      <c r="B885" s="29"/>
      <c r="C885" s="29"/>
      <c r="D885" s="29"/>
      <c r="E885" s="30"/>
      <c r="F885" s="32"/>
      <c r="G885" s="3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32"/>
      <c r="B886" s="29"/>
      <c r="C886" s="29"/>
      <c r="D886" s="29"/>
      <c r="E886" s="30"/>
      <c r="F886" s="32"/>
      <c r="G886" s="3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32"/>
      <c r="B887" s="29"/>
      <c r="C887" s="29"/>
      <c r="D887" s="29"/>
      <c r="E887" s="30"/>
      <c r="F887" s="32"/>
      <c r="G887" s="3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32"/>
      <c r="B888" s="29"/>
      <c r="C888" s="29"/>
      <c r="D888" s="29"/>
      <c r="E888" s="30"/>
      <c r="F888" s="32"/>
      <c r="G888" s="3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32"/>
      <c r="B889" s="29"/>
      <c r="C889" s="29"/>
      <c r="D889" s="29"/>
      <c r="E889" s="30"/>
      <c r="F889" s="32"/>
      <c r="G889" s="3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32"/>
      <c r="B890" s="29"/>
      <c r="C890" s="29"/>
      <c r="D890" s="29"/>
      <c r="E890" s="30"/>
      <c r="F890" s="32"/>
      <c r="G890" s="3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32"/>
      <c r="B891" s="29"/>
      <c r="C891" s="29"/>
      <c r="D891" s="29"/>
      <c r="E891" s="30"/>
      <c r="F891" s="32"/>
      <c r="G891" s="3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32"/>
      <c r="B892" s="29"/>
      <c r="C892" s="29"/>
      <c r="D892" s="29"/>
      <c r="E892" s="30"/>
      <c r="F892" s="32"/>
      <c r="G892" s="3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32"/>
      <c r="B893" s="29"/>
      <c r="C893" s="29"/>
      <c r="D893" s="29"/>
      <c r="E893" s="30"/>
      <c r="F893" s="32"/>
      <c r="G893" s="3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32"/>
      <c r="B894" s="29"/>
      <c r="C894" s="29"/>
      <c r="D894" s="29"/>
      <c r="E894" s="30"/>
      <c r="F894" s="32"/>
      <c r="G894" s="3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32"/>
      <c r="B895" s="29"/>
      <c r="C895" s="29"/>
      <c r="D895" s="29"/>
      <c r="E895" s="30"/>
      <c r="F895" s="32"/>
      <c r="G895" s="3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32"/>
      <c r="B896" s="29"/>
      <c r="C896" s="29"/>
      <c r="D896" s="29"/>
      <c r="E896" s="30"/>
      <c r="F896" s="32"/>
      <c r="G896" s="3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32"/>
      <c r="B897" s="29"/>
      <c r="C897" s="29"/>
      <c r="D897" s="29"/>
      <c r="E897" s="30"/>
      <c r="F897" s="32"/>
      <c r="G897" s="3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32"/>
      <c r="B898" s="29"/>
      <c r="C898" s="29"/>
      <c r="D898" s="29"/>
      <c r="E898" s="30"/>
      <c r="F898" s="32"/>
      <c r="G898" s="3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32"/>
      <c r="B899" s="29"/>
      <c r="C899" s="29"/>
      <c r="D899" s="29"/>
      <c r="E899" s="30"/>
      <c r="F899" s="32"/>
      <c r="G899" s="3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32"/>
      <c r="B900" s="29"/>
      <c r="C900" s="29"/>
      <c r="D900" s="29"/>
      <c r="E900" s="30"/>
      <c r="F900" s="32"/>
      <c r="G900" s="3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32"/>
      <c r="B901" s="29"/>
      <c r="C901" s="29"/>
      <c r="D901" s="29"/>
      <c r="E901" s="30"/>
      <c r="F901" s="32"/>
      <c r="G901" s="3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32"/>
      <c r="B902" s="29"/>
      <c r="C902" s="29"/>
      <c r="D902" s="29"/>
      <c r="E902" s="30"/>
      <c r="F902" s="32"/>
      <c r="G902" s="3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32"/>
      <c r="B903" s="29"/>
      <c r="C903" s="29"/>
      <c r="D903" s="29"/>
      <c r="E903" s="30"/>
      <c r="F903" s="32"/>
      <c r="G903" s="3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32"/>
      <c r="B904" s="29"/>
      <c r="C904" s="29"/>
      <c r="D904" s="29"/>
      <c r="E904" s="30"/>
      <c r="F904" s="32"/>
      <c r="G904" s="3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32"/>
      <c r="B905" s="29"/>
      <c r="C905" s="29"/>
      <c r="D905" s="29"/>
      <c r="E905" s="30"/>
      <c r="F905" s="32"/>
      <c r="G905" s="3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32"/>
      <c r="B906" s="29"/>
      <c r="C906" s="29"/>
      <c r="D906" s="29"/>
      <c r="E906" s="30"/>
      <c r="F906" s="32"/>
      <c r="G906" s="3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32"/>
      <c r="B907" s="29"/>
      <c r="C907" s="29"/>
      <c r="D907" s="29"/>
      <c r="E907" s="30"/>
      <c r="F907" s="32"/>
      <c r="G907" s="3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32"/>
      <c r="B908" s="29"/>
      <c r="C908" s="29"/>
      <c r="D908" s="29"/>
      <c r="E908" s="30"/>
      <c r="F908" s="32"/>
      <c r="G908" s="3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32"/>
      <c r="B909" s="29"/>
      <c r="C909" s="29"/>
      <c r="D909" s="29"/>
      <c r="E909" s="30"/>
      <c r="F909" s="32"/>
      <c r="G909" s="3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32"/>
      <c r="B910" s="29"/>
      <c r="C910" s="29"/>
      <c r="D910" s="29"/>
      <c r="E910" s="30"/>
      <c r="F910" s="32"/>
      <c r="G910" s="3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32"/>
      <c r="B911" s="29"/>
      <c r="C911" s="29"/>
      <c r="D911" s="29"/>
      <c r="E911" s="30"/>
      <c r="F911" s="32"/>
      <c r="G911" s="3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32"/>
      <c r="B912" s="29"/>
      <c r="C912" s="29"/>
      <c r="D912" s="29"/>
      <c r="E912" s="30"/>
      <c r="F912" s="32"/>
      <c r="G912" s="3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32"/>
      <c r="B913" s="29"/>
      <c r="C913" s="29"/>
      <c r="D913" s="29"/>
      <c r="E913" s="30"/>
      <c r="F913" s="32"/>
      <c r="G913" s="3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32"/>
      <c r="B914" s="29"/>
      <c r="C914" s="29"/>
      <c r="D914" s="29"/>
      <c r="E914" s="30"/>
      <c r="F914" s="32"/>
      <c r="G914" s="3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32"/>
      <c r="B915" s="29"/>
      <c r="C915" s="29"/>
      <c r="D915" s="29"/>
      <c r="E915" s="30"/>
      <c r="F915" s="32"/>
      <c r="G915" s="3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32"/>
      <c r="B916" s="29"/>
      <c r="C916" s="29"/>
      <c r="D916" s="29"/>
      <c r="E916" s="30"/>
      <c r="F916" s="32"/>
      <c r="G916" s="3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32"/>
      <c r="B917" s="29"/>
      <c r="C917" s="29"/>
      <c r="D917" s="29"/>
      <c r="E917" s="30"/>
      <c r="F917" s="32"/>
      <c r="G917" s="3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32"/>
      <c r="B918" s="29"/>
      <c r="C918" s="29"/>
      <c r="D918" s="29"/>
      <c r="E918" s="30"/>
      <c r="F918" s="32"/>
      <c r="G918" s="3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32"/>
      <c r="B919" s="29"/>
      <c r="C919" s="29"/>
      <c r="D919" s="29"/>
      <c r="E919" s="30"/>
      <c r="F919" s="32"/>
      <c r="G919" s="3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32"/>
      <c r="B920" s="29"/>
      <c r="C920" s="29"/>
      <c r="D920" s="29"/>
      <c r="E920" s="30"/>
      <c r="F920" s="32"/>
      <c r="G920" s="3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32"/>
      <c r="B921" s="29"/>
      <c r="C921" s="29"/>
      <c r="D921" s="29"/>
      <c r="E921" s="30"/>
      <c r="F921" s="32"/>
      <c r="G921" s="3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32"/>
      <c r="B922" s="29"/>
      <c r="C922" s="29"/>
      <c r="D922" s="29"/>
      <c r="E922" s="30"/>
      <c r="F922" s="32"/>
      <c r="G922" s="3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32"/>
      <c r="B923" s="29"/>
      <c r="C923" s="29"/>
      <c r="D923" s="29"/>
      <c r="E923" s="30"/>
      <c r="F923" s="32"/>
      <c r="G923" s="3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32"/>
      <c r="B924" s="29"/>
      <c r="C924" s="29"/>
      <c r="D924" s="29"/>
      <c r="E924" s="30"/>
      <c r="F924" s="32"/>
      <c r="G924" s="3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32"/>
      <c r="B925" s="29"/>
      <c r="C925" s="29"/>
      <c r="D925" s="29"/>
      <c r="E925" s="30"/>
      <c r="F925" s="32"/>
      <c r="G925" s="3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32"/>
      <c r="B926" s="29"/>
      <c r="C926" s="29"/>
      <c r="D926" s="29"/>
      <c r="E926" s="30"/>
      <c r="F926" s="32"/>
      <c r="G926" s="3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32"/>
      <c r="B927" s="29"/>
      <c r="C927" s="29"/>
      <c r="D927" s="29"/>
      <c r="E927" s="30"/>
      <c r="F927" s="32"/>
      <c r="G927" s="3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32"/>
      <c r="B928" s="29"/>
      <c r="C928" s="29"/>
      <c r="D928" s="29"/>
      <c r="E928" s="30"/>
      <c r="F928" s="32"/>
      <c r="G928" s="3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32"/>
      <c r="B929" s="29"/>
      <c r="C929" s="29"/>
      <c r="D929" s="29"/>
      <c r="E929" s="30"/>
      <c r="F929" s="32"/>
      <c r="G929" s="3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32"/>
      <c r="B930" s="29"/>
      <c r="C930" s="29"/>
      <c r="D930" s="29"/>
      <c r="E930" s="30"/>
      <c r="F930" s="32"/>
      <c r="G930" s="3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32"/>
      <c r="B931" s="29"/>
      <c r="C931" s="29"/>
      <c r="D931" s="29"/>
      <c r="E931" s="30"/>
      <c r="F931" s="32"/>
      <c r="G931" s="3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32"/>
      <c r="B932" s="29"/>
      <c r="C932" s="29"/>
      <c r="D932" s="29"/>
      <c r="E932" s="30"/>
      <c r="F932" s="32"/>
      <c r="G932" s="3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32"/>
      <c r="B933" s="29"/>
      <c r="C933" s="29"/>
      <c r="D933" s="29"/>
      <c r="E933" s="30"/>
      <c r="F933" s="32"/>
      <c r="G933" s="3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32"/>
      <c r="B934" s="29"/>
      <c r="C934" s="29"/>
      <c r="D934" s="29"/>
      <c r="E934" s="30"/>
      <c r="F934" s="32"/>
      <c r="G934" s="3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32"/>
      <c r="B935" s="29"/>
      <c r="C935" s="29"/>
      <c r="D935" s="29"/>
      <c r="E935" s="30"/>
      <c r="F935" s="32"/>
      <c r="G935" s="3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32"/>
      <c r="B936" s="29"/>
      <c r="C936" s="29"/>
      <c r="D936" s="29"/>
      <c r="E936" s="30"/>
      <c r="F936" s="32"/>
      <c r="G936" s="3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32"/>
      <c r="B937" s="29"/>
      <c r="C937" s="29"/>
      <c r="D937" s="29"/>
      <c r="E937" s="30"/>
      <c r="F937" s="32"/>
      <c r="G937" s="3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32"/>
      <c r="B938" s="29"/>
      <c r="C938" s="29"/>
      <c r="D938" s="29"/>
      <c r="E938" s="30"/>
      <c r="F938" s="32"/>
      <c r="G938" s="3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32"/>
      <c r="B939" s="29"/>
      <c r="C939" s="29"/>
      <c r="D939" s="29"/>
      <c r="E939" s="30"/>
      <c r="F939" s="32"/>
      <c r="G939" s="3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32"/>
      <c r="B940" s="29"/>
      <c r="C940" s="29"/>
      <c r="D940" s="29"/>
      <c r="E940" s="30"/>
      <c r="F940" s="32"/>
      <c r="G940" s="3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32"/>
      <c r="B941" s="29"/>
      <c r="C941" s="29"/>
      <c r="D941" s="29"/>
      <c r="E941" s="30"/>
      <c r="F941" s="32"/>
      <c r="G941" s="3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32"/>
      <c r="B942" s="29"/>
      <c r="C942" s="29"/>
      <c r="D942" s="29"/>
      <c r="E942" s="30"/>
      <c r="F942" s="32"/>
      <c r="G942" s="3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32"/>
      <c r="B943" s="29"/>
      <c r="C943" s="29"/>
      <c r="D943" s="29"/>
      <c r="E943" s="30"/>
      <c r="F943" s="32"/>
      <c r="G943" s="3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32"/>
      <c r="B944" s="29"/>
      <c r="C944" s="29"/>
      <c r="D944" s="29"/>
      <c r="E944" s="30"/>
      <c r="F944" s="32"/>
      <c r="G944" s="3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32"/>
      <c r="B945" s="29"/>
      <c r="C945" s="29"/>
      <c r="D945" s="29"/>
      <c r="E945" s="30"/>
      <c r="F945" s="32"/>
      <c r="G945" s="3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32"/>
      <c r="B946" s="29"/>
      <c r="C946" s="29"/>
      <c r="D946" s="29"/>
      <c r="E946" s="30"/>
      <c r="F946" s="32"/>
      <c r="G946" s="3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32"/>
      <c r="B947" s="29"/>
      <c r="C947" s="29"/>
      <c r="D947" s="29"/>
      <c r="E947" s="30"/>
      <c r="F947" s="32"/>
      <c r="G947" s="3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32"/>
      <c r="B948" s="29"/>
      <c r="C948" s="29"/>
      <c r="D948" s="29"/>
      <c r="E948" s="30"/>
      <c r="F948" s="32"/>
      <c r="G948" s="3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32"/>
      <c r="B949" s="29"/>
      <c r="C949" s="29"/>
      <c r="D949" s="29"/>
      <c r="E949" s="30"/>
      <c r="F949" s="32"/>
      <c r="G949" s="3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32"/>
      <c r="B950" s="29"/>
      <c r="C950" s="29"/>
      <c r="D950" s="29"/>
      <c r="E950" s="30"/>
      <c r="F950" s="32"/>
      <c r="G950" s="3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32"/>
      <c r="B951" s="29"/>
      <c r="C951" s="29"/>
      <c r="D951" s="29"/>
      <c r="E951" s="30"/>
      <c r="F951" s="32"/>
      <c r="G951" s="3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32"/>
      <c r="B952" s="29"/>
      <c r="C952" s="29"/>
      <c r="D952" s="29"/>
      <c r="E952" s="30"/>
      <c r="F952" s="32"/>
      <c r="G952" s="3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32"/>
      <c r="B953" s="29"/>
      <c r="C953" s="29"/>
      <c r="D953" s="29"/>
      <c r="E953" s="30"/>
      <c r="F953" s="32"/>
      <c r="G953" s="3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32"/>
      <c r="B954" s="29"/>
      <c r="C954" s="29"/>
      <c r="D954" s="29"/>
      <c r="E954" s="30"/>
      <c r="F954" s="32"/>
      <c r="G954" s="3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32"/>
      <c r="B955" s="29"/>
      <c r="C955" s="29"/>
      <c r="D955" s="29"/>
      <c r="E955" s="30"/>
      <c r="F955" s="32"/>
      <c r="G955" s="3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32"/>
      <c r="B956" s="29"/>
      <c r="C956" s="29"/>
      <c r="D956" s="29"/>
      <c r="E956" s="30"/>
      <c r="F956" s="32"/>
      <c r="G956" s="3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32"/>
      <c r="B957" s="29"/>
      <c r="C957" s="29"/>
      <c r="D957" s="29"/>
      <c r="E957" s="30"/>
      <c r="F957" s="32"/>
      <c r="G957" s="3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32"/>
      <c r="B958" s="29"/>
      <c r="C958" s="29"/>
      <c r="D958" s="29"/>
      <c r="E958" s="30"/>
      <c r="F958" s="32"/>
      <c r="G958" s="3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32"/>
      <c r="B959" s="29"/>
      <c r="C959" s="29"/>
      <c r="D959" s="29"/>
      <c r="E959" s="30"/>
      <c r="F959" s="32"/>
      <c r="G959" s="3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32"/>
      <c r="B960" s="29"/>
      <c r="C960" s="29"/>
      <c r="D960" s="29"/>
      <c r="E960" s="30"/>
      <c r="F960" s="32"/>
      <c r="G960" s="3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32"/>
      <c r="B961" s="29"/>
      <c r="C961" s="29"/>
      <c r="D961" s="29"/>
      <c r="E961" s="30"/>
      <c r="F961" s="32"/>
      <c r="G961" s="3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32"/>
      <c r="B962" s="29"/>
      <c r="C962" s="29"/>
      <c r="D962" s="29"/>
      <c r="E962" s="30"/>
      <c r="F962" s="32"/>
      <c r="G962" s="3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32"/>
      <c r="B963" s="29"/>
      <c r="C963" s="29"/>
      <c r="D963" s="29"/>
      <c r="E963" s="30"/>
      <c r="F963" s="32"/>
      <c r="G963" s="3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32"/>
      <c r="B964" s="29"/>
      <c r="C964" s="29"/>
      <c r="D964" s="29"/>
      <c r="E964" s="30"/>
      <c r="F964" s="32"/>
      <c r="G964" s="3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32"/>
      <c r="B965" s="29"/>
      <c r="C965" s="29"/>
      <c r="D965" s="29"/>
      <c r="E965" s="30"/>
      <c r="F965" s="32"/>
      <c r="G965" s="3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32"/>
      <c r="B966" s="29"/>
      <c r="C966" s="29"/>
      <c r="D966" s="29"/>
      <c r="E966" s="30"/>
      <c r="F966" s="32"/>
      <c r="G966" s="3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32"/>
      <c r="B967" s="29"/>
      <c r="C967" s="29"/>
      <c r="D967" s="29"/>
      <c r="E967" s="30"/>
      <c r="F967" s="32"/>
      <c r="G967" s="3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32"/>
      <c r="B968" s="29"/>
      <c r="C968" s="29"/>
      <c r="D968" s="29"/>
      <c r="E968" s="30"/>
      <c r="F968" s="32"/>
      <c r="G968" s="3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32"/>
      <c r="B969" s="29"/>
      <c r="C969" s="29"/>
      <c r="D969" s="29"/>
      <c r="E969" s="30"/>
      <c r="F969" s="32"/>
      <c r="G969" s="3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32"/>
      <c r="B970" s="29"/>
      <c r="C970" s="29"/>
      <c r="D970" s="29"/>
      <c r="E970" s="30"/>
      <c r="F970" s="32"/>
      <c r="G970" s="3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32"/>
      <c r="B971" s="29"/>
      <c r="C971" s="29"/>
      <c r="D971" s="29"/>
      <c r="E971" s="30"/>
      <c r="F971" s="32"/>
      <c r="G971" s="3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32"/>
      <c r="B972" s="29"/>
      <c r="C972" s="29"/>
      <c r="D972" s="29"/>
      <c r="E972" s="30"/>
      <c r="F972" s="32"/>
      <c r="G972" s="3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32"/>
      <c r="B973" s="29"/>
      <c r="C973" s="29"/>
      <c r="D973" s="29"/>
      <c r="E973" s="30"/>
      <c r="F973" s="32"/>
      <c r="G973" s="3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32"/>
      <c r="B974" s="29"/>
      <c r="C974" s="29"/>
      <c r="D974" s="29"/>
      <c r="E974" s="30"/>
      <c r="F974" s="32"/>
      <c r="G974" s="3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32"/>
      <c r="B975" s="29"/>
      <c r="C975" s="29"/>
      <c r="D975" s="29"/>
      <c r="E975" s="30"/>
      <c r="F975" s="32"/>
      <c r="G975" s="3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32"/>
      <c r="B976" s="29"/>
      <c r="C976" s="29"/>
      <c r="D976" s="29"/>
      <c r="E976" s="30"/>
      <c r="F976" s="32"/>
      <c r="G976" s="3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32"/>
      <c r="B977" s="29"/>
      <c r="C977" s="29"/>
      <c r="D977" s="29"/>
      <c r="E977" s="30"/>
      <c r="F977" s="32"/>
      <c r="G977" s="3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32"/>
      <c r="B978" s="29"/>
      <c r="C978" s="29"/>
      <c r="D978" s="29"/>
      <c r="E978" s="30"/>
      <c r="F978" s="32"/>
      <c r="G978" s="3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32"/>
      <c r="B979" s="29"/>
      <c r="C979" s="29"/>
      <c r="D979" s="29"/>
      <c r="E979" s="30"/>
      <c r="F979" s="32"/>
      <c r="G979" s="3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32"/>
      <c r="B980" s="29"/>
      <c r="C980" s="29"/>
      <c r="D980" s="29"/>
      <c r="E980" s="30"/>
      <c r="F980" s="32"/>
      <c r="G980" s="3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32"/>
      <c r="B981" s="29"/>
      <c r="C981" s="29"/>
      <c r="D981" s="29"/>
      <c r="E981" s="30"/>
      <c r="F981" s="32"/>
      <c r="G981" s="3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32"/>
      <c r="B982" s="29"/>
      <c r="C982" s="29"/>
      <c r="D982" s="29"/>
      <c r="E982" s="30"/>
      <c r="F982" s="32"/>
      <c r="G982" s="3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32"/>
      <c r="B983" s="29"/>
      <c r="C983" s="29"/>
      <c r="D983" s="29"/>
      <c r="E983" s="30"/>
      <c r="F983" s="32"/>
      <c r="G983" s="3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32"/>
      <c r="B984" s="29"/>
      <c r="C984" s="29"/>
      <c r="D984" s="29"/>
      <c r="E984" s="30"/>
      <c r="F984" s="32"/>
      <c r="G984" s="3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32"/>
      <c r="B985" s="29"/>
      <c r="C985" s="29"/>
      <c r="D985" s="29"/>
      <c r="E985" s="30"/>
      <c r="F985" s="32"/>
      <c r="G985" s="3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32"/>
      <c r="B986" s="29"/>
      <c r="C986" s="29"/>
      <c r="D986" s="29"/>
      <c r="E986" s="30"/>
      <c r="F986" s="32"/>
      <c r="G986" s="3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32"/>
      <c r="B987" s="29"/>
      <c r="C987" s="29"/>
      <c r="D987" s="29"/>
      <c r="E987" s="30"/>
      <c r="F987" s="32"/>
      <c r="G987" s="3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32"/>
      <c r="B988" s="29"/>
      <c r="C988" s="29"/>
      <c r="D988" s="29"/>
      <c r="E988" s="30"/>
      <c r="F988" s="32"/>
      <c r="G988" s="3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32"/>
      <c r="B989" s="29"/>
      <c r="C989" s="29"/>
      <c r="D989" s="29"/>
      <c r="E989" s="30"/>
      <c r="F989" s="32"/>
      <c r="G989" s="3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32"/>
      <c r="B990" s="29"/>
      <c r="C990" s="29"/>
      <c r="D990" s="29"/>
      <c r="E990" s="30"/>
      <c r="F990" s="32"/>
      <c r="G990" s="3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32"/>
      <c r="B991" s="29"/>
      <c r="C991" s="29"/>
      <c r="D991" s="29"/>
      <c r="E991" s="30"/>
      <c r="F991" s="32"/>
      <c r="G991" s="3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32"/>
      <c r="B992" s="29"/>
      <c r="C992" s="29"/>
      <c r="D992" s="29"/>
      <c r="E992" s="30"/>
      <c r="F992" s="32"/>
      <c r="G992" s="3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32"/>
      <c r="B993" s="29"/>
      <c r="C993" s="29"/>
      <c r="D993" s="29"/>
      <c r="E993" s="30"/>
      <c r="F993" s="32"/>
      <c r="G993" s="3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32"/>
      <c r="B994" s="29"/>
      <c r="C994" s="29"/>
      <c r="D994" s="29"/>
      <c r="E994" s="30"/>
      <c r="F994" s="32"/>
      <c r="G994" s="3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32"/>
      <c r="B995" s="29"/>
      <c r="C995" s="29"/>
      <c r="D995" s="29"/>
      <c r="E995" s="30"/>
      <c r="F995" s="32"/>
      <c r="G995" s="3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32"/>
      <c r="B996" s="29"/>
      <c r="C996" s="29"/>
      <c r="D996" s="29"/>
      <c r="E996" s="30"/>
      <c r="F996" s="32"/>
      <c r="G996" s="3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32"/>
      <c r="B997" s="29"/>
      <c r="C997" s="29"/>
      <c r="D997" s="29"/>
      <c r="E997" s="30"/>
      <c r="F997" s="32"/>
      <c r="G997" s="3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32"/>
      <c r="B998" s="29"/>
      <c r="C998" s="29"/>
      <c r="D998" s="29"/>
      <c r="E998" s="30"/>
      <c r="F998" s="32"/>
      <c r="G998" s="3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32"/>
      <c r="B999" s="29"/>
      <c r="C999" s="29"/>
      <c r="D999" s="29"/>
      <c r="E999" s="30"/>
      <c r="F999" s="32"/>
      <c r="G999" s="3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32"/>
      <c r="B1000" s="29"/>
      <c r="C1000" s="29"/>
      <c r="D1000" s="29"/>
      <c r="E1000" s="30"/>
      <c r="F1000" s="32"/>
      <c r="G1000" s="3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32"/>
      <c r="B1001" s="29"/>
      <c r="C1001" s="29"/>
      <c r="D1001" s="29"/>
      <c r="E1001" s="30"/>
      <c r="F1001" s="32"/>
      <c r="G1001" s="3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autoFilter ref="$A$1:$G$2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6.86"/>
    <col customWidth="1" min="2" max="2" width="28.43"/>
    <col customWidth="1" min="3" max="3" width="37.43"/>
    <col customWidth="1" min="4" max="4" width="9.29"/>
    <col customWidth="1" min="5" max="26" width="8.71"/>
  </cols>
  <sheetData>
    <row r="1">
      <c r="A1" s="34" t="s">
        <v>0</v>
      </c>
      <c r="B1" s="35" t="s">
        <v>1</v>
      </c>
      <c r="C1" s="35" t="s">
        <v>2</v>
      </c>
      <c r="D1" s="36" t="s">
        <v>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>
        <v>42171.0</v>
      </c>
      <c r="B2" s="39" t="s">
        <v>72</v>
      </c>
      <c r="C2" s="39" t="s">
        <v>73</v>
      </c>
      <c r="D2" s="40"/>
      <c r="E2" s="41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38">
        <v>42171.0</v>
      </c>
      <c r="B3" s="39" t="s">
        <v>74</v>
      </c>
      <c r="C3" s="39" t="s">
        <v>75</v>
      </c>
      <c r="D3" s="40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38">
        <v>42171.0</v>
      </c>
      <c r="B4" s="39" t="s">
        <v>76</v>
      </c>
      <c r="C4" s="39" t="s">
        <v>77</v>
      </c>
      <c r="D4" s="40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38">
        <v>42171.0</v>
      </c>
      <c r="B5" s="39" t="s">
        <v>78</v>
      </c>
      <c r="C5" s="39" t="s">
        <v>79</v>
      </c>
      <c r="D5" s="40"/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38">
        <v>42171.0</v>
      </c>
      <c r="B6" s="39" t="s">
        <v>80</v>
      </c>
      <c r="C6" s="39" t="s">
        <v>81</v>
      </c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38">
        <v>42171.0</v>
      </c>
      <c r="B7" s="39" t="s">
        <v>82</v>
      </c>
      <c r="C7" s="39" t="s">
        <v>75</v>
      </c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38">
        <v>42171.0</v>
      </c>
      <c r="B8" s="39" t="s">
        <v>83</v>
      </c>
      <c r="C8" s="39" t="s">
        <v>84</v>
      </c>
      <c r="D8" s="40"/>
      <c r="E8" s="41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38">
        <v>42171.0</v>
      </c>
      <c r="B9" s="39" t="s">
        <v>85</v>
      </c>
      <c r="C9" s="39" t="s">
        <v>86</v>
      </c>
      <c r="D9" s="40"/>
      <c r="E9" s="41">
        <v>1.0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38">
        <v>42171.0</v>
      </c>
      <c r="B10" s="39" t="s">
        <v>87</v>
      </c>
      <c r="C10" s="39" t="s">
        <v>88</v>
      </c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38">
        <v>42171.0</v>
      </c>
      <c r="B11" s="39" t="s">
        <v>89</v>
      </c>
      <c r="C11" s="43" t="s">
        <v>90</v>
      </c>
      <c r="D11" s="40"/>
      <c r="E11" s="41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38">
        <v>42171.0</v>
      </c>
      <c r="B12" s="39" t="s">
        <v>91</v>
      </c>
      <c r="C12" s="39" t="s">
        <v>86</v>
      </c>
      <c r="D12" s="40"/>
      <c r="E12" s="41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38">
        <v>42171.0</v>
      </c>
      <c r="B13" s="39" t="s">
        <v>92</v>
      </c>
      <c r="C13" s="39" t="s">
        <v>93</v>
      </c>
      <c r="D13" s="40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38">
        <v>42171.0</v>
      </c>
      <c r="B14" s="39" t="s">
        <v>94</v>
      </c>
      <c r="C14" s="39" t="s">
        <v>95</v>
      </c>
      <c r="D14" s="40"/>
      <c r="E14" s="41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38">
        <v>42171.0</v>
      </c>
      <c r="B15" s="39" t="s">
        <v>96</v>
      </c>
      <c r="C15" s="39" t="s">
        <v>97</v>
      </c>
      <c r="D15" s="40"/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4">
        <v>42175.0</v>
      </c>
      <c r="B16" s="45" t="s">
        <v>10</v>
      </c>
      <c r="C16" s="43" t="s">
        <v>98</v>
      </c>
      <c r="D16" s="40"/>
      <c r="E16" s="41"/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4">
        <v>42180.0</v>
      </c>
      <c r="B17" s="43" t="s">
        <v>99</v>
      </c>
      <c r="C17" s="43" t="s">
        <v>100</v>
      </c>
      <c r="D17" s="40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4">
        <v>42197.0</v>
      </c>
      <c r="B18" s="46" t="s">
        <v>27</v>
      </c>
      <c r="C18" s="43" t="s">
        <v>101</v>
      </c>
      <c r="D18" s="40"/>
      <c r="E18" s="41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4">
        <v>42206.0</v>
      </c>
      <c r="B19" s="43" t="s">
        <v>30</v>
      </c>
      <c r="C19" s="43" t="s">
        <v>102</v>
      </c>
      <c r="D19" s="40"/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4">
        <v>42259.0</v>
      </c>
      <c r="B20" s="43" t="s">
        <v>22</v>
      </c>
      <c r="C20" s="43" t="s">
        <v>103</v>
      </c>
      <c r="D20" s="40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38"/>
      <c r="B21" s="39"/>
      <c r="C21" s="39"/>
      <c r="D21" s="40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38">
        <v>42171.0</v>
      </c>
      <c r="B22" s="39" t="s">
        <v>104</v>
      </c>
      <c r="C22" s="47" t="s">
        <v>105</v>
      </c>
      <c r="D22" s="40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38">
        <v>42171.0</v>
      </c>
      <c r="B23" s="39" t="s">
        <v>106</v>
      </c>
      <c r="C23" s="47" t="s">
        <v>107</v>
      </c>
      <c r="D23" s="40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38">
        <v>42171.0</v>
      </c>
      <c r="B24" s="39" t="s">
        <v>108</v>
      </c>
      <c r="C24" s="47" t="s">
        <v>109</v>
      </c>
      <c r="D24" s="40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38">
        <v>42171.0</v>
      </c>
      <c r="B25" s="39" t="s">
        <v>110</v>
      </c>
      <c r="C25" s="47" t="s">
        <v>107</v>
      </c>
      <c r="D25" s="40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38">
        <v>42171.0</v>
      </c>
      <c r="B26" s="39" t="s">
        <v>111</v>
      </c>
      <c r="C26" s="47" t="s">
        <v>107</v>
      </c>
      <c r="D26" s="40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38">
        <v>42171.0</v>
      </c>
      <c r="B27" s="39" t="s">
        <v>112</v>
      </c>
      <c r="C27" s="47" t="s">
        <v>113</v>
      </c>
      <c r="D27" s="40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38">
        <v>42171.0</v>
      </c>
      <c r="B28" s="39" t="s">
        <v>114</v>
      </c>
      <c r="C28" s="47" t="s">
        <v>115</v>
      </c>
      <c r="D28" s="40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>
        <v>42315.0</v>
      </c>
      <c r="B29" s="43" t="s">
        <v>116</v>
      </c>
      <c r="C29" s="43" t="s">
        <v>117</v>
      </c>
      <c r="D29" s="40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38"/>
      <c r="B30" s="39"/>
      <c r="C30" s="39"/>
      <c r="D30" s="40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38"/>
      <c r="B31" s="39"/>
      <c r="C31" s="39"/>
      <c r="D31" s="40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38"/>
      <c r="B32" s="39"/>
      <c r="C32" s="39"/>
      <c r="D32" s="40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38"/>
      <c r="B33" s="39"/>
      <c r="C33" s="39"/>
      <c r="D33" s="40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38"/>
      <c r="B34" s="39"/>
      <c r="C34" s="39"/>
      <c r="D34" s="40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38"/>
      <c r="B35" s="39"/>
      <c r="C35" s="39"/>
      <c r="D35" s="40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38"/>
      <c r="B36" s="39"/>
      <c r="C36" s="39"/>
      <c r="D36" s="40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38"/>
      <c r="B37" s="39"/>
      <c r="C37" s="39"/>
      <c r="D37" s="40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38"/>
      <c r="B38" s="39"/>
      <c r="C38" s="39"/>
      <c r="D38" s="40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38"/>
      <c r="B39" s="39"/>
      <c r="C39" s="39"/>
      <c r="D39" s="40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38"/>
      <c r="B40" s="39"/>
      <c r="C40" s="39"/>
      <c r="D40" s="40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38"/>
      <c r="B41" s="39"/>
      <c r="C41" s="39"/>
      <c r="D41" s="40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38"/>
      <c r="B42" s="39"/>
      <c r="C42" s="39"/>
      <c r="D42" s="40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38"/>
      <c r="B43" s="39"/>
      <c r="C43" s="39"/>
      <c r="D43" s="40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38"/>
      <c r="B44" s="39"/>
      <c r="C44" s="39"/>
      <c r="D44" s="40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38"/>
      <c r="B45" s="39"/>
      <c r="C45" s="39"/>
      <c r="D45" s="40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38"/>
      <c r="B46" s="39"/>
      <c r="C46" s="39"/>
      <c r="D46" s="40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38"/>
      <c r="B47" s="39"/>
      <c r="C47" s="39"/>
      <c r="D47" s="40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38"/>
      <c r="B48" s="39"/>
      <c r="C48" s="39"/>
      <c r="D48" s="40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38"/>
      <c r="B49" s="39"/>
      <c r="C49" s="39"/>
      <c r="D49" s="40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38"/>
      <c r="B50" s="39"/>
      <c r="C50" s="39"/>
      <c r="D50" s="40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38"/>
      <c r="B51" s="39"/>
      <c r="C51" s="39"/>
      <c r="D51" s="40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38"/>
      <c r="B52" s="39"/>
      <c r="C52" s="39"/>
      <c r="D52" s="40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38"/>
      <c r="B53" s="39"/>
      <c r="C53" s="39"/>
      <c r="D53" s="40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38"/>
      <c r="B54" s="39"/>
      <c r="C54" s="39"/>
      <c r="D54" s="40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38"/>
      <c r="B55" s="39"/>
      <c r="C55" s="39"/>
      <c r="D55" s="40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38"/>
      <c r="B56" s="39"/>
      <c r="C56" s="39"/>
      <c r="D56" s="40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38"/>
      <c r="B57" s="39"/>
      <c r="C57" s="39"/>
      <c r="D57" s="40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38"/>
      <c r="B58" s="39"/>
      <c r="C58" s="39"/>
      <c r="D58" s="40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38"/>
      <c r="B59" s="39"/>
      <c r="C59" s="39"/>
      <c r="D59" s="40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38"/>
      <c r="B60" s="39"/>
      <c r="C60" s="39"/>
      <c r="D60" s="40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38"/>
      <c r="B61" s="39"/>
      <c r="C61" s="39"/>
      <c r="D61" s="40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38"/>
      <c r="B62" s="39"/>
      <c r="C62" s="39"/>
      <c r="D62" s="40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38"/>
      <c r="B63" s="39"/>
      <c r="C63" s="39"/>
      <c r="D63" s="40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38"/>
      <c r="B64" s="39"/>
      <c r="C64" s="39"/>
      <c r="D64" s="40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38"/>
      <c r="B65" s="39"/>
      <c r="C65" s="39"/>
      <c r="D65" s="40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38"/>
      <c r="B66" s="39"/>
      <c r="C66" s="39"/>
      <c r="D66" s="40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38"/>
      <c r="B67" s="39"/>
      <c r="C67" s="39"/>
      <c r="D67" s="40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38"/>
      <c r="B68" s="39"/>
      <c r="C68" s="39"/>
      <c r="D68" s="40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38"/>
      <c r="B69" s="39"/>
      <c r="C69" s="39"/>
      <c r="D69" s="40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38"/>
      <c r="B70" s="39"/>
      <c r="C70" s="39"/>
      <c r="D70" s="40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38"/>
      <c r="B71" s="39"/>
      <c r="C71" s="39"/>
      <c r="D71" s="40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38"/>
      <c r="B72" s="39"/>
      <c r="C72" s="39"/>
      <c r="D72" s="40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38"/>
      <c r="B73" s="39"/>
      <c r="C73" s="39"/>
      <c r="D73" s="40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38"/>
      <c r="B74" s="39"/>
      <c r="C74" s="39"/>
      <c r="D74" s="40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38"/>
      <c r="B75" s="39"/>
      <c r="C75" s="39"/>
      <c r="D75" s="40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38"/>
      <c r="B76" s="39"/>
      <c r="C76" s="39"/>
      <c r="D76" s="40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38"/>
      <c r="B77" s="39"/>
      <c r="C77" s="39"/>
      <c r="D77" s="40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38"/>
      <c r="B78" s="39"/>
      <c r="C78" s="39"/>
      <c r="D78" s="40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38"/>
      <c r="B79" s="39"/>
      <c r="C79" s="39"/>
      <c r="D79" s="40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38"/>
      <c r="B80" s="39"/>
      <c r="C80" s="39"/>
      <c r="D80" s="40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38"/>
      <c r="B81" s="39"/>
      <c r="C81" s="39"/>
      <c r="D81" s="40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38"/>
      <c r="B82" s="39"/>
      <c r="C82" s="39"/>
      <c r="D82" s="40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38"/>
      <c r="B83" s="39"/>
      <c r="C83" s="39"/>
      <c r="D83" s="40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38"/>
      <c r="B84" s="39"/>
      <c r="C84" s="39"/>
      <c r="D84" s="40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38"/>
      <c r="B85" s="39"/>
      <c r="C85" s="39"/>
      <c r="D85" s="40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38"/>
      <c r="B86" s="39"/>
      <c r="C86" s="39"/>
      <c r="D86" s="40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38"/>
      <c r="B87" s="39"/>
      <c r="C87" s="39"/>
      <c r="D87" s="40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38"/>
      <c r="B88" s="39"/>
      <c r="C88" s="39"/>
      <c r="D88" s="40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38"/>
      <c r="B89" s="39"/>
      <c r="C89" s="39"/>
      <c r="D89" s="40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38"/>
      <c r="B90" s="39"/>
      <c r="C90" s="39"/>
      <c r="D90" s="40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38"/>
      <c r="B91" s="39"/>
      <c r="C91" s="39"/>
      <c r="D91" s="40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38"/>
      <c r="B92" s="39"/>
      <c r="C92" s="39"/>
      <c r="D92" s="40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38"/>
      <c r="B93" s="39"/>
      <c r="C93" s="39"/>
      <c r="D93" s="40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38"/>
      <c r="B94" s="39"/>
      <c r="C94" s="39"/>
      <c r="D94" s="40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38"/>
      <c r="B95" s="39"/>
      <c r="C95" s="39"/>
      <c r="D95" s="40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38"/>
      <c r="B96" s="39"/>
      <c r="C96" s="39"/>
      <c r="D96" s="40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38"/>
      <c r="B97" s="39"/>
      <c r="C97" s="39"/>
      <c r="D97" s="40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38"/>
      <c r="B98" s="39"/>
      <c r="C98" s="39"/>
      <c r="D98" s="40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38"/>
      <c r="B99" s="39"/>
      <c r="C99" s="39"/>
      <c r="D99" s="40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38"/>
      <c r="B100" s="39"/>
      <c r="C100" s="39"/>
      <c r="D100" s="40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38"/>
      <c r="B101" s="39"/>
      <c r="C101" s="39"/>
      <c r="D101" s="40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38"/>
      <c r="B102" s="39"/>
      <c r="C102" s="39"/>
      <c r="D102" s="40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38"/>
      <c r="B103" s="39"/>
      <c r="C103" s="39"/>
      <c r="D103" s="40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38"/>
      <c r="B104" s="39"/>
      <c r="C104" s="39"/>
      <c r="D104" s="40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38"/>
      <c r="B105" s="39"/>
      <c r="C105" s="39"/>
      <c r="D105" s="40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38"/>
      <c r="B106" s="39"/>
      <c r="C106" s="39"/>
      <c r="D106" s="40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38"/>
      <c r="B107" s="39"/>
      <c r="C107" s="39"/>
      <c r="D107" s="40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38"/>
      <c r="B108" s="39"/>
      <c r="C108" s="39"/>
      <c r="D108" s="40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38"/>
      <c r="B109" s="39"/>
      <c r="C109" s="39"/>
      <c r="D109" s="40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38"/>
      <c r="B110" s="39"/>
      <c r="C110" s="39"/>
      <c r="D110" s="40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38"/>
      <c r="B111" s="39"/>
      <c r="C111" s="39"/>
      <c r="D111" s="40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38"/>
      <c r="B112" s="39"/>
      <c r="C112" s="39"/>
      <c r="D112" s="40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38"/>
      <c r="B113" s="39"/>
      <c r="C113" s="39"/>
      <c r="D113" s="40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38"/>
      <c r="B114" s="39"/>
      <c r="C114" s="39"/>
      <c r="D114" s="40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38"/>
      <c r="B115" s="39"/>
      <c r="C115" s="39"/>
      <c r="D115" s="40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38"/>
      <c r="B116" s="39"/>
      <c r="C116" s="39"/>
      <c r="D116" s="40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38"/>
      <c r="B117" s="39"/>
      <c r="C117" s="39"/>
      <c r="D117" s="40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38"/>
      <c r="B118" s="39"/>
      <c r="C118" s="39"/>
      <c r="D118" s="40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38"/>
      <c r="B119" s="39"/>
      <c r="C119" s="39"/>
      <c r="D119" s="40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38"/>
      <c r="B120" s="39"/>
      <c r="C120" s="39"/>
      <c r="D120" s="40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38"/>
      <c r="B121" s="39"/>
      <c r="C121" s="39"/>
      <c r="D121" s="40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38"/>
      <c r="B122" s="39"/>
      <c r="C122" s="39"/>
      <c r="D122" s="40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38"/>
      <c r="B123" s="39"/>
      <c r="C123" s="39"/>
      <c r="D123" s="40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38"/>
      <c r="B124" s="39"/>
      <c r="C124" s="39"/>
      <c r="D124" s="40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38"/>
      <c r="B125" s="39"/>
      <c r="C125" s="39"/>
      <c r="D125" s="40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38"/>
      <c r="B126" s="39"/>
      <c r="C126" s="39"/>
      <c r="D126" s="40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38"/>
      <c r="B127" s="39"/>
      <c r="C127" s="39"/>
      <c r="D127" s="40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38"/>
      <c r="B128" s="39"/>
      <c r="C128" s="39"/>
      <c r="D128" s="40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38"/>
      <c r="B129" s="39"/>
      <c r="C129" s="39"/>
      <c r="D129" s="40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38"/>
      <c r="B130" s="39"/>
      <c r="C130" s="39"/>
      <c r="D130" s="40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38"/>
      <c r="B131" s="39"/>
      <c r="C131" s="39"/>
      <c r="D131" s="40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38"/>
      <c r="B132" s="39"/>
      <c r="C132" s="39"/>
      <c r="D132" s="40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38"/>
      <c r="B133" s="39"/>
      <c r="C133" s="39"/>
      <c r="D133" s="40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38"/>
      <c r="B134" s="39"/>
      <c r="C134" s="39"/>
      <c r="D134" s="40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38"/>
      <c r="B135" s="39"/>
      <c r="C135" s="39"/>
      <c r="D135" s="40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38"/>
      <c r="B136" s="39"/>
      <c r="C136" s="39"/>
      <c r="D136" s="40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38"/>
      <c r="B137" s="39"/>
      <c r="C137" s="39"/>
      <c r="D137" s="40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38"/>
      <c r="B138" s="39"/>
      <c r="C138" s="39"/>
      <c r="D138" s="40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38"/>
      <c r="B139" s="39"/>
      <c r="C139" s="39"/>
      <c r="D139" s="40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38"/>
      <c r="B140" s="39"/>
      <c r="C140" s="39"/>
      <c r="D140" s="40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38"/>
      <c r="B141" s="39"/>
      <c r="C141" s="39"/>
      <c r="D141" s="40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38"/>
      <c r="B142" s="39"/>
      <c r="C142" s="39"/>
      <c r="D142" s="40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38"/>
      <c r="B143" s="39"/>
      <c r="C143" s="39"/>
      <c r="D143" s="40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38"/>
      <c r="B144" s="39"/>
      <c r="C144" s="39"/>
      <c r="D144" s="40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38"/>
      <c r="B145" s="39"/>
      <c r="C145" s="39"/>
      <c r="D145" s="40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38"/>
      <c r="B146" s="39"/>
      <c r="C146" s="39"/>
      <c r="D146" s="40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38"/>
      <c r="B147" s="39"/>
      <c r="C147" s="39"/>
      <c r="D147" s="40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38"/>
      <c r="B148" s="39"/>
      <c r="C148" s="39"/>
      <c r="D148" s="40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38"/>
      <c r="B149" s="39"/>
      <c r="C149" s="39"/>
      <c r="D149" s="40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38"/>
      <c r="B150" s="39"/>
      <c r="C150" s="39"/>
      <c r="D150" s="40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38"/>
      <c r="B151" s="39"/>
      <c r="C151" s="39"/>
      <c r="D151" s="40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38"/>
      <c r="B152" s="39"/>
      <c r="C152" s="39"/>
      <c r="D152" s="40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38"/>
      <c r="B153" s="39"/>
      <c r="C153" s="39"/>
      <c r="D153" s="40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38"/>
      <c r="B154" s="39"/>
      <c r="C154" s="39"/>
      <c r="D154" s="40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38"/>
      <c r="B155" s="39"/>
      <c r="C155" s="39"/>
      <c r="D155" s="40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38"/>
      <c r="B156" s="39"/>
      <c r="C156" s="39"/>
      <c r="D156" s="40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38"/>
      <c r="B157" s="39"/>
      <c r="C157" s="39"/>
      <c r="D157" s="40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38"/>
      <c r="B158" s="39"/>
      <c r="C158" s="39"/>
      <c r="D158" s="40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38"/>
      <c r="B159" s="39"/>
      <c r="C159" s="39"/>
      <c r="D159" s="40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38"/>
      <c r="B160" s="39"/>
      <c r="C160" s="39"/>
      <c r="D160" s="40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38"/>
      <c r="B161" s="39"/>
      <c r="C161" s="39"/>
      <c r="D161" s="40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38"/>
      <c r="B162" s="39"/>
      <c r="C162" s="39"/>
      <c r="D162" s="40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38"/>
      <c r="B163" s="39"/>
      <c r="C163" s="39"/>
      <c r="D163" s="40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38"/>
      <c r="B164" s="39"/>
      <c r="C164" s="39"/>
      <c r="D164" s="40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38"/>
      <c r="B165" s="39"/>
      <c r="C165" s="39"/>
      <c r="D165" s="40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38"/>
      <c r="B166" s="39"/>
      <c r="C166" s="39"/>
      <c r="D166" s="40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38"/>
      <c r="B167" s="39"/>
      <c r="C167" s="39"/>
      <c r="D167" s="40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38"/>
      <c r="B168" s="39"/>
      <c r="C168" s="39"/>
      <c r="D168" s="40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38"/>
      <c r="B169" s="39"/>
      <c r="C169" s="39"/>
      <c r="D169" s="40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38"/>
      <c r="B170" s="39"/>
      <c r="C170" s="39"/>
      <c r="D170" s="40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38"/>
      <c r="B171" s="39"/>
      <c r="C171" s="39"/>
      <c r="D171" s="40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38"/>
      <c r="B172" s="39"/>
      <c r="C172" s="39"/>
      <c r="D172" s="40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38"/>
      <c r="B173" s="39"/>
      <c r="C173" s="39"/>
      <c r="D173" s="40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38"/>
      <c r="B174" s="39"/>
      <c r="C174" s="39"/>
      <c r="D174" s="40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38"/>
      <c r="B175" s="39"/>
      <c r="C175" s="39"/>
      <c r="D175" s="40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38"/>
      <c r="B176" s="39"/>
      <c r="C176" s="39"/>
      <c r="D176" s="40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38"/>
      <c r="B177" s="39"/>
      <c r="C177" s="39"/>
      <c r="D177" s="40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38"/>
      <c r="B178" s="39"/>
      <c r="C178" s="39"/>
      <c r="D178" s="40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38"/>
      <c r="B179" s="39"/>
      <c r="C179" s="39"/>
      <c r="D179" s="40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38"/>
      <c r="B180" s="39"/>
      <c r="C180" s="39"/>
      <c r="D180" s="40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38"/>
      <c r="B181" s="39"/>
      <c r="C181" s="39"/>
      <c r="D181" s="40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38"/>
      <c r="B182" s="39"/>
      <c r="C182" s="39"/>
      <c r="D182" s="40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38"/>
      <c r="B183" s="39"/>
      <c r="C183" s="39"/>
      <c r="D183" s="40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38"/>
      <c r="B184" s="39"/>
      <c r="C184" s="39"/>
      <c r="D184" s="40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38"/>
      <c r="B185" s="39"/>
      <c r="C185" s="39"/>
      <c r="D185" s="40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38"/>
      <c r="B186" s="39"/>
      <c r="C186" s="39"/>
      <c r="D186" s="40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38"/>
      <c r="B187" s="39"/>
      <c r="C187" s="39"/>
      <c r="D187" s="40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38"/>
      <c r="B188" s="39"/>
      <c r="C188" s="39"/>
      <c r="D188" s="40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38"/>
      <c r="B189" s="39"/>
      <c r="C189" s="39"/>
      <c r="D189" s="40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38"/>
      <c r="B190" s="39"/>
      <c r="C190" s="39"/>
      <c r="D190" s="40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38"/>
      <c r="B191" s="39"/>
      <c r="C191" s="39"/>
      <c r="D191" s="40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38"/>
      <c r="B192" s="39"/>
      <c r="C192" s="39"/>
      <c r="D192" s="40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38"/>
      <c r="B193" s="39"/>
      <c r="C193" s="39"/>
      <c r="D193" s="40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38"/>
      <c r="B194" s="39"/>
      <c r="C194" s="39"/>
      <c r="D194" s="40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38"/>
      <c r="B195" s="39"/>
      <c r="C195" s="39"/>
      <c r="D195" s="40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38"/>
      <c r="B196" s="39"/>
      <c r="C196" s="39"/>
      <c r="D196" s="40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38"/>
      <c r="B197" s="39"/>
      <c r="C197" s="39"/>
      <c r="D197" s="40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38"/>
      <c r="B198" s="39"/>
      <c r="C198" s="39"/>
      <c r="D198" s="40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38"/>
      <c r="B199" s="39"/>
      <c r="C199" s="39"/>
      <c r="D199" s="40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38"/>
      <c r="B200" s="39"/>
      <c r="C200" s="39"/>
      <c r="D200" s="40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38"/>
      <c r="B201" s="39"/>
      <c r="C201" s="39"/>
      <c r="D201" s="40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38"/>
      <c r="B202" s="39"/>
      <c r="C202" s="39"/>
      <c r="D202" s="40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38"/>
      <c r="B203" s="39"/>
      <c r="C203" s="39"/>
      <c r="D203" s="40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38"/>
      <c r="B204" s="39"/>
      <c r="C204" s="39"/>
      <c r="D204" s="40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38"/>
      <c r="B205" s="39"/>
      <c r="C205" s="39"/>
      <c r="D205" s="40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38"/>
      <c r="B206" s="39"/>
      <c r="C206" s="39"/>
      <c r="D206" s="40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38"/>
      <c r="B207" s="39"/>
      <c r="C207" s="39"/>
      <c r="D207" s="40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38"/>
      <c r="B208" s="39"/>
      <c r="C208" s="39"/>
      <c r="D208" s="40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38"/>
      <c r="B209" s="39"/>
      <c r="C209" s="39"/>
      <c r="D209" s="40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38"/>
      <c r="B210" s="39"/>
      <c r="C210" s="39"/>
      <c r="D210" s="40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38"/>
      <c r="B211" s="39"/>
      <c r="C211" s="39"/>
      <c r="D211" s="40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38"/>
      <c r="B212" s="39"/>
      <c r="C212" s="39"/>
      <c r="D212" s="40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38"/>
      <c r="B213" s="39"/>
      <c r="C213" s="39"/>
      <c r="D213" s="40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38"/>
      <c r="B214" s="39"/>
      <c r="C214" s="39"/>
      <c r="D214" s="40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38"/>
      <c r="B215" s="39"/>
      <c r="C215" s="39"/>
      <c r="D215" s="40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38"/>
      <c r="B216" s="39"/>
      <c r="C216" s="39"/>
      <c r="D216" s="40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38"/>
      <c r="B217" s="39"/>
      <c r="C217" s="39"/>
      <c r="D217" s="40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38"/>
      <c r="B218" s="39"/>
      <c r="C218" s="39"/>
      <c r="D218" s="40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38"/>
      <c r="B219" s="39"/>
      <c r="C219" s="39"/>
      <c r="D219" s="40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38"/>
      <c r="B220" s="39"/>
      <c r="C220" s="39"/>
      <c r="D220" s="40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38"/>
      <c r="B221" s="39"/>
      <c r="C221" s="39"/>
      <c r="D221" s="40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38"/>
      <c r="B222" s="39"/>
      <c r="C222" s="39"/>
      <c r="D222" s="40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38"/>
      <c r="B223" s="39"/>
      <c r="C223" s="39"/>
      <c r="D223" s="40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38"/>
      <c r="B224" s="39"/>
      <c r="C224" s="39"/>
      <c r="D224" s="40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38"/>
      <c r="B225" s="39"/>
      <c r="C225" s="39"/>
      <c r="D225" s="40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38"/>
      <c r="B226" s="39"/>
      <c r="C226" s="39"/>
      <c r="D226" s="40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38"/>
      <c r="B227" s="39"/>
      <c r="C227" s="39"/>
      <c r="D227" s="40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38"/>
      <c r="B228" s="39"/>
      <c r="C228" s="39"/>
      <c r="D228" s="40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38"/>
      <c r="B229" s="39"/>
      <c r="C229" s="39"/>
      <c r="D229" s="40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38"/>
      <c r="B230" s="39"/>
      <c r="C230" s="39"/>
      <c r="D230" s="40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38"/>
      <c r="B231" s="39"/>
      <c r="C231" s="39"/>
      <c r="D231" s="40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38"/>
      <c r="B232" s="39"/>
      <c r="C232" s="39"/>
      <c r="D232" s="40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38"/>
      <c r="B233" s="39"/>
      <c r="C233" s="39"/>
      <c r="D233" s="40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38"/>
      <c r="B234" s="39"/>
      <c r="C234" s="39"/>
      <c r="D234" s="40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38"/>
      <c r="B235" s="39"/>
      <c r="C235" s="39"/>
      <c r="D235" s="40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38"/>
      <c r="B236" s="39"/>
      <c r="C236" s="39"/>
      <c r="D236" s="40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38"/>
      <c r="B237" s="39"/>
      <c r="C237" s="39"/>
      <c r="D237" s="40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38"/>
      <c r="B238" s="39"/>
      <c r="C238" s="39"/>
      <c r="D238" s="40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38"/>
      <c r="B239" s="39"/>
      <c r="C239" s="39"/>
      <c r="D239" s="40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38"/>
      <c r="B240" s="39"/>
      <c r="C240" s="39"/>
      <c r="D240" s="40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38"/>
      <c r="B241" s="39"/>
      <c r="C241" s="39"/>
      <c r="D241" s="40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38"/>
      <c r="B242" s="39"/>
      <c r="C242" s="39"/>
      <c r="D242" s="40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38"/>
      <c r="B243" s="39"/>
      <c r="C243" s="39"/>
      <c r="D243" s="40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38"/>
      <c r="B244" s="39"/>
      <c r="C244" s="39"/>
      <c r="D244" s="40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38"/>
      <c r="B245" s="39"/>
      <c r="C245" s="39"/>
      <c r="D245" s="40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38"/>
      <c r="B246" s="39"/>
      <c r="C246" s="39"/>
      <c r="D246" s="40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38"/>
      <c r="B247" s="39"/>
      <c r="C247" s="39"/>
      <c r="D247" s="40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38"/>
      <c r="B248" s="39"/>
      <c r="C248" s="39"/>
      <c r="D248" s="40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38"/>
      <c r="B249" s="39"/>
      <c r="C249" s="39"/>
      <c r="D249" s="40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38"/>
      <c r="B250" s="39"/>
      <c r="C250" s="39"/>
      <c r="D250" s="40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38"/>
      <c r="B251" s="39"/>
      <c r="C251" s="39"/>
      <c r="D251" s="40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38"/>
      <c r="B252" s="39"/>
      <c r="C252" s="39"/>
      <c r="D252" s="40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38"/>
      <c r="B253" s="39"/>
      <c r="C253" s="39"/>
      <c r="D253" s="40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38"/>
      <c r="B254" s="39"/>
      <c r="C254" s="39"/>
      <c r="D254" s="40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38"/>
      <c r="B255" s="39"/>
      <c r="C255" s="39"/>
      <c r="D255" s="40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38"/>
      <c r="B256" s="39"/>
      <c r="C256" s="39"/>
      <c r="D256" s="40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38"/>
      <c r="B257" s="39"/>
      <c r="C257" s="39"/>
      <c r="D257" s="40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38"/>
      <c r="B258" s="39"/>
      <c r="C258" s="39"/>
      <c r="D258" s="40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38"/>
      <c r="B259" s="39"/>
      <c r="C259" s="39"/>
      <c r="D259" s="40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38"/>
      <c r="B260" s="39"/>
      <c r="C260" s="39"/>
      <c r="D260" s="40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38"/>
      <c r="B261" s="39"/>
      <c r="C261" s="39"/>
      <c r="D261" s="40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38"/>
      <c r="B262" s="39"/>
      <c r="C262" s="39"/>
      <c r="D262" s="40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38"/>
      <c r="B263" s="39"/>
      <c r="C263" s="39"/>
      <c r="D263" s="40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38"/>
      <c r="B264" s="39"/>
      <c r="C264" s="39"/>
      <c r="D264" s="40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38"/>
      <c r="B265" s="39"/>
      <c r="C265" s="39"/>
      <c r="D265" s="40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38"/>
      <c r="B266" s="39"/>
      <c r="C266" s="39"/>
      <c r="D266" s="40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38"/>
      <c r="B267" s="39"/>
      <c r="C267" s="39"/>
      <c r="D267" s="40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38"/>
      <c r="B268" s="39"/>
      <c r="C268" s="39"/>
      <c r="D268" s="40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38"/>
      <c r="B269" s="39"/>
      <c r="C269" s="39"/>
      <c r="D269" s="40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38"/>
      <c r="B270" s="39"/>
      <c r="C270" s="39"/>
      <c r="D270" s="40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38"/>
      <c r="B271" s="39"/>
      <c r="C271" s="39"/>
      <c r="D271" s="40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38"/>
      <c r="B272" s="39"/>
      <c r="C272" s="39"/>
      <c r="D272" s="40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38"/>
      <c r="B273" s="39"/>
      <c r="C273" s="39"/>
      <c r="D273" s="40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38"/>
      <c r="B274" s="39"/>
      <c r="C274" s="39"/>
      <c r="D274" s="40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38"/>
      <c r="B275" s="39"/>
      <c r="C275" s="39"/>
      <c r="D275" s="40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38"/>
      <c r="B276" s="39"/>
      <c r="C276" s="39"/>
      <c r="D276" s="40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38"/>
      <c r="B277" s="39"/>
      <c r="C277" s="39"/>
      <c r="D277" s="40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38"/>
      <c r="B278" s="39"/>
      <c r="C278" s="39"/>
      <c r="D278" s="40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38"/>
      <c r="B279" s="39"/>
      <c r="C279" s="39"/>
      <c r="D279" s="40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38"/>
      <c r="B280" s="39"/>
      <c r="C280" s="39"/>
      <c r="D280" s="40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38"/>
      <c r="B281" s="39"/>
      <c r="C281" s="39"/>
      <c r="D281" s="40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38"/>
      <c r="B282" s="39"/>
      <c r="C282" s="39"/>
      <c r="D282" s="40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38"/>
      <c r="B283" s="39"/>
      <c r="C283" s="39"/>
      <c r="D283" s="40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38"/>
      <c r="B284" s="39"/>
      <c r="C284" s="39"/>
      <c r="D284" s="40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38"/>
      <c r="B285" s="39"/>
      <c r="C285" s="39"/>
      <c r="D285" s="40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38"/>
      <c r="B286" s="39"/>
      <c r="C286" s="39"/>
      <c r="D286" s="40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38"/>
      <c r="B287" s="39"/>
      <c r="C287" s="39"/>
      <c r="D287" s="40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38"/>
      <c r="B288" s="39"/>
      <c r="C288" s="39"/>
      <c r="D288" s="40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38"/>
      <c r="B289" s="39"/>
      <c r="C289" s="39"/>
      <c r="D289" s="40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38"/>
      <c r="B290" s="39"/>
      <c r="C290" s="39"/>
      <c r="D290" s="40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38"/>
      <c r="B291" s="39"/>
      <c r="C291" s="39"/>
      <c r="D291" s="40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38"/>
      <c r="B292" s="39"/>
      <c r="C292" s="39"/>
      <c r="D292" s="40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38"/>
      <c r="B293" s="39"/>
      <c r="C293" s="39"/>
      <c r="D293" s="40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38"/>
      <c r="B294" s="39"/>
      <c r="C294" s="39"/>
      <c r="D294" s="40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38"/>
      <c r="B295" s="39"/>
      <c r="C295" s="39"/>
      <c r="D295" s="40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38"/>
      <c r="B296" s="39"/>
      <c r="C296" s="39"/>
      <c r="D296" s="40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38"/>
      <c r="B297" s="39"/>
      <c r="C297" s="39"/>
      <c r="D297" s="40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38"/>
      <c r="B298" s="39"/>
      <c r="C298" s="39"/>
      <c r="D298" s="40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38"/>
      <c r="B299" s="39"/>
      <c r="C299" s="39"/>
      <c r="D299" s="40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38"/>
      <c r="B300" s="39"/>
      <c r="C300" s="39"/>
      <c r="D300" s="40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38"/>
      <c r="B301" s="39"/>
      <c r="C301" s="39"/>
      <c r="D301" s="40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38"/>
      <c r="B302" s="39"/>
      <c r="C302" s="39"/>
      <c r="D302" s="40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38"/>
      <c r="B303" s="39"/>
      <c r="C303" s="39"/>
      <c r="D303" s="40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38"/>
      <c r="B304" s="39"/>
      <c r="C304" s="39"/>
      <c r="D304" s="40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38"/>
      <c r="B305" s="39"/>
      <c r="C305" s="39"/>
      <c r="D305" s="40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38"/>
      <c r="B306" s="39"/>
      <c r="C306" s="39"/>
      <c r="D306" s="40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38"/>
      <c r="B307" s="39"/>
      <c r="C307" s="39"/>
      <c r="D307" s="40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38"/>
      <c r="B308" s="39"/>
      <c r="C308" s="39"/>
      <c r="D308" s="40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38"/>
      <c r="B309" s="39"/>
      <c r="C309" s="39"/>
      <c r="D309" s="40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38"/>
      <c r="B310" s="39"/>
      <c r="C310" s="39"/>
      <c r="D310" s="40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38"/>
      <c r="B311" s="39"/>
      <c r="C311" s="39"/>
      <c r="D311" s="40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38"/>
      <c r="B312" s="39"/>
      <c r="C312" s="39"/>
      <c r="D312" s="40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38"/>
      <c r="B313" s="39"/>
      <c r="C313" s="39"/>
      <c r="D313" s="40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38"/>
      <c r="B314" s="39"/>
      <c r="C314" s="39"/>
      <c r="D314" s="40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38"/>
      <c r="B315" s="39"/>
      <c r="C315" s="39"/>
      <c r="D315" s="40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38"/>
      <c r="B316" s="39"/>
      <c r="C316" s="39"/>
      <c r="D316" s="40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38"/>
      <c r="B317" s="39"/>
      <c r="C317" s="39"/>
      <c r="D317" s="40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38"/>
      <c r="B318" s="39"/>
      <c r="C318" s="39"/>
      <c r="D318" s="40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38"/>
      <c r="B319" s="39"/>
      <c r="C319" s="39"/>
      <c r="D319" s="40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38"/>
      <c r="B320" s="39"/>
      <c r="C320" s="39"/>
      <c r="D320" s="40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38"/>
      <c r="B321" s="39"/>
      <c r="C321" s="39"/>
      <c r="D321" s="40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38"/>
      <c r="B322" s="39"/>
      <c r="C322" s="39"/>
      <c r="D322" s="40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38"/>
      <c r="B323" s="39"/>
      <c r="C323" s="39"/>
      <c r="D323" s="40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38"/>
      <c r="B324" s="39"/>
      <c r="C324" s="39"/>
      <c r="D324" s="40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38"/>
      <c r="B325" s="39"/>
      <c r="C325" s="39"/>
      <c r="D325" s="40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38"/>
      <c r="B326" s="39"/>
      <c r="C326" s="39"/>
      <c r="D326" s="40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38"/>
      <c r="B327" s="39"/>
      <c r="C327" s="39"/>
      <c r="D327" s="40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38"/>
      <c r="B328" s="39"/>
      <c r="C328" s="39"/>
      <c r="D328" s="40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38"/>
      <c r="B329" s="39"/>
      <c r="C329" s="39"/>
      <c r="D329" s="40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38"/>
      <c r="B330" s="39"/>
      <c r="C330" s="39"/>
      <c r="D330" s="40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38"/>
      <c r="B331" s="39"/>
      <c r="C331" s="39"/>
      <c r="D331" s="40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38"/>
      <c r="B332" s="39"/>
      <c r="C332" s="39"/>
      <c r="D332" s="40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38"/>
      <c r="B333" s="39"/>
      <c r="C333" s="39"/>
      <c r="D333" s="40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38"/>
      <c r="B334" s="39"/>
      <c r="C334" s="39"/>
      <c r="D334" s="40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38"/>
      <c r="B335" s="39"/>
      <c r="C335" s="39"/>
      <c r="D335" s="40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38"/>
      <c r="B336" s="39"/>
      <c r="C336" s="39"/>
      <c r="D336" s="40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38"/>
      <c r="B337" s="39"/>
      <c r="C337" s="39"/>
      <c r="D337" s="40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38"/>
      <c r="B338" s="39"/>
      <c r="C338" s="39"/>
      <c r="D338" s="40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38"/>
      <c r="B339" s="39"/>
      <c r="C339" s="39"/>
      <c r="D339" s="40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38"/>
      <c r="B340" s="39"/>
      <c r="C340" s="39"/>
      <c r="D340" s="40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38"/>
      <c r="B341" s="39"/>
      <c r="C341" s="39"/>
      <c r="D341" s="40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38"/>
      <c r="B342" s="39"/>
      <c r="C342" s="39"/>
      <c r="D342" s="40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38"/>
      <c r="B343" s="39"/>
      <c r="C343" s="39"/>
      <c r="D343" s="40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38"/>
      <c r="B344" s="39"/>
      <c r="C344" s="39"/>
      <c r="D344" s="40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38"/>
      <c r="B345" s="39"/>
      <c r="C345" s="39"/>
      <c r="D345" s="40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38"/>
      <c r="B346" s="39"/>
      <c r="C346" s="39"/>
      <c r="D346" s="40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38"/>
      <c r="B347" s="39"/>
      <c r="C347" s="39"/>
      <c r="D347" s="40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38"/>
      <c r="B348" s="39"/>
      <c r="C348" s="39"/>
      <c r="D348" s="40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38"/>
      <c r="B349" s="39"/>
      <c r="C349" s="39"/>
      <c r="D349" s="40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38"/>
      <c r="B350" s="39"/>
      <c r="C350" s="39"/>
      <c r="D350" s="40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38"/>
      <c r="B351" s="39"/>
      <c r="C351" s="39"/>
      <c r="D351" s="40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38"/>
      <c r="B352" s="39"/>
      <c r="C352" s="39"/>
      <c r="D352" s="40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38"/>
      <c r="B353" s="39"/>
      <c r="C353" s="39"/>
      <c r="D353" s="40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38"/>
      <c r="B354" s="39"/>
      <c r="C354" s="39"/>
      <c r="D354" s="40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38"/>
      <c r="B355" s="39"/>
      <c r="C355" s="39"/>
      <c r="D355" s="40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38"/>
      <c r="B356" s="39"/>
      <c r="C356" s="39"/>
      <c r="D356" s="40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38"/>
      <c r="B357" s="39"/>
      <c r="C357" s="39"/>
      <c r="D357" s="40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38"/>
      <c r="B358" s="39"/>
      <c r="C358" s="39"/>
      <c r="D358" s="40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38"/>
      <c r="B359" s="39"/>
      <c r="C359" s="39"/>
      <c r="D359" s="40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38"/>
      <c r="B360" s="39"/>
      <c r="C360" s="39"/>
      <c r="D360" s="40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38"/>
      <c r="B361" s="39"/>
      <c r="C361" s="39"/>
      <c r="D361" s="40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38"/>
      <c r="B362" s="39"/>
      <c r="C362" s="39"/>
      <c r="D362" s="40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38"/>
      <c r="B363" s="39"/>
      <c r="C363" s="39"/>
      <c r="D363" s="40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38"/>
      <c r="B364" s="39"/>
      <c r="C364" s="39"/>
      <c r="D364" s="40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38"/>
      <c r="B365" s="39"/>
      <c r="C365" s="39"/>
      <c r="D365" s="40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38"/>
      <c r="B366" s="39"/>
      <c r="C366" s="39"/>
      <c r="D366" s="40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38"/>
      <c r="B367" s="39"/>
      <c r="C367" s="39"/>
      <c r="D367" s="40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38"/>
      <c r="B368" s="39"/>
      <c r="C368" s="39"/>
      <c r="D368" s="40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38"/>
      <c r="B369" s="39"/>
      <c r="C369" s="39"/>
      <c r="D369" s="40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38"/>
      <c r="B370" s="39"/>
      <c r="C370" s="39"/>
      <c r="D370" s="40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38"/>
      <c r="B371" s="39"/>
      <c r="C371" s="39"/>
      <c r="D371" s="40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38"/>
      <c r="B372" s="39"/>
      <c r="C372" s="39"/>
      <c r="D372" s="40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38"/>
      <c r="B373" s="39"/>
      <c r="C373" s="39"/>
      <c r="D373" s="40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38"/>
      <c r="B374" s="39"/>
      <c r="C374" s="39"/>
      <c r="D374" s="40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38"/>
      <c r="B375" s="39"/>
      <c r="C375" s="39"/>
      <c r="D375" s="40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38"/>
      <c r="B376" s="39"/>
      <c r="C376" s="39"/>
      <c r="D376" s="40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38"/>
      <c r="B377" s="39"/>
      <c r="C377" s="39"/>
      <c r="D377" s="40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38"/>
      <c r="B378" s="39"/>
      <c r="C378" s="39"/>
      <c r="D378" s="40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38"/>
      <c r="B379" s="39"/>
      <c r="C379" s="39"/>
      <c r="D379" s="40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38"/>
      <c r="B380" s="39"/>
      <c r="C380" s="39"/>
      <c r="D380" s="40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38"/>
      <c r="B381" s="39"/>
      <c r="C381" s="39"/>
      <c r="D381" s="40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38"/>
      <c r="B382" s="39"/>
      <c r="C382" s="39"/>
      <c r="D382" s="40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38"/>
      <c r="B383" s="39"/>
      <c r="C383" s="39"/>
      <c r="D383" s="40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38"/>
      <c r="B384" s="39"/>
      <c r="C384" s="39"/>
      <c r="D384" s="40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38"/>
      <c r="B385" s="39"/>
      <c r="C385" s="39"/>
      <c r="D385" s="40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38"/>
      <c r="B386" s="39"/>
      <c r="C386" s="39"/>
      <c r="D386" s="40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38"/>
      <c r="B387" s="39"/>
      <c r="C387" s="39"/>
      <c r="D387" s="40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38"/>
      <c r="B388" s="39"/>
      <c r="C388" s="39"/>
      <c r="D388" s="40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38"/>
      <c r="B389" s="39"/>
      <c r="C389" s="39"/>
      <c r="D389" s="40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38"/>
      <c r="B390" s="39"/>
      <c r="C390" s="39"/>
      <c r="D390" s="40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38"/>
      <c r="B391" s="39"/>
      <c r="C391" s="39"/>
      <c r="D391" s="40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38"/>
      <c r="B392" s="39"/>
      <c r="C392" s="39"/>
      <c r="D392" s="40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38"/>
      <c r="B393" s="39"/>
      <c r="C393" s="39"/>
      <c r="D393" s="40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38"/>
      <c r="B394" s="39"/>
      <c r="C394" s="39"/>
      <c r="D394" s="40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38"/>
      <c r="B395" s="39"/>
      <c r="C395" s="39"/>
      <c r="D395" s="40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38"/>
      <c r="B396" s="39"/>
      <c r="C396" s="39"/>
      <c r="D396" s="40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38"/>
      <c r="B397" s="39"/>
      <c r="C397" s="39"/>
      <c r="D397" s="40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38"/>
      <c r="B398" s="39"/>
      <c r="C398" s="39"/>
      <c r="D398" s="40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38"/>
      <c r="B399" s="39"/>
      <c r="C399" s="39"/>
      <c r="D399" s="40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38"/>
      <c r="B400" s="39"/>
      <c r="C400" s="39"/>
      <c r="D400" s="40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38"/>
      <c r="B401" s="39"/>
      <c r="C401" s="39"/>
      <c r="D401" s="40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38"/>
      <c r="B402" s="39"/>
      <c r="C402" s="39"/>
      <c r="D402" s="40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38"/>
      <c r="B403" s="39"/>
      <c r="C403" s="39"/>
      <c r="D403" s="40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38"/>
      <c r="B404" s="39"/>
      <c r="C404" s="39"/>
      <c r="D404" s="40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38"/>
      <c r="B405" s="39"/>
      <c r="C405" s="39"/>
      <c r="D405" s="40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38"/>
      <c r="B406" s="39"/>
      <c r="C406" s="39"/>
      <c r="D406" s="40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38"/>
      <c r="B407" s="39"/>
      <c r="C407" s="39"/>
      <c r="D407" s="40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38"/>
      <c r="B408" s="39"/>
      <c r="C408" s="39"/>
      <c r="D408" s="40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38"/>
      <c r="B409" s="39"/>
      <c r="C409" s="39"/>
      <c r="D409" s="40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38"/>
      <c r="B410" s="39"/>
      <c r="C410" s="39"/>
      <c r="D410" s="40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38"/>
      <c r="B411" s="39"/>
      <c r="C411" s="39"/>
      <c r="D411" s="40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38"/>
      <c r="B412" s="39"/>
      <c r="C412" s="39"/>
      <c r="D412" s="40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38"/>
      <c r="B413" s="39"/>
      <c r="C413" s="39"/>
      <c r="D413" s="40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38"/>
      <c r="B414" s="39"/>
      <c r="C414" s="39"/>
      <c r="D414" s="40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38"/>
      <c r="B415" s="39"/>
      <c r="C415" s="39"/>
      <c r="D415" s="40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38"/>
      <c r="B416" s="39"/>
      <c r="C416" s="39"/>
      <c r="D416" s="40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38"/>
      <c r="B417" s="39"/>
      <c r="C417" s="39"/>
      <c r="D417" s="40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38"/>
      <c r="B418" s="39"/>
      <c r="C418" s="39"/>
      <c r="D418" s="40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38"/>
      <c r="B419" s="39"/>
      <c r="C419" s="39"/>
      <c r="D419" s="40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38"/>
      <c r="B420" s="39"/>
      <c r="C420" s="39"/>
      <c r="D420" s="40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38"/>
      <c r="B421" s="39"/>
      <c r="C421" s="39"/>
      <c r="D421" s="40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38"/>
      <c r="B422" s="39"/>
      <c r="C422" s="39"/>
      <c r="D422" s="40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38"/>
      <c r="B423" s="39"/>
      <c r="C423" s="39"/>
      <c r="D423" s="40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38"/>
      <c r="B424" s="39"/>
      <c r="C424" s="39"/>
      <c r="D424" s="40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38"/>
      <c r="B425" s="39"/>
      <c r="C425" s="39"/>
      <c r="D425" s="40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38"/>
      <c r="B426" s="39"/>
      <c r="C426" s="39"/>
      <c r="D426" s="40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38"/>
      <c r="B427" s="39"/>
      <c r="C427" s="39"/>
      <c r="D427" s="40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38"/>
      <c r="B428" s="39"/>
      <c r="C428" s="39"/>
      <c r="D428" s="40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38"/>
      <c r="B429" s="39"/>
      <c r="C429" s="39"/>
      <c r="D429" s="40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38"/>
      <c r="B430" s="39"/>
      <c r="C430" s="39"/>
      <c r="D430" s="40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38"/>
      <c r="B431" s="39"/>
      <c r="C431" s="39"/>
      <c r="D431" s="40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38"/>
      <c r="B432" s="39"/>
      <c r="C432" s="39"/>
      <c r="D432" s="40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38"/>
      <c r="B433" s="39"/>
      <c r="C433" s="39"/>
      <c r="D433" s="40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38"/>
      <c r="B434" s="39"/>
      <c r="C434" s="39"/>
      <c r="D434" s="40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38"/>
      <c r="B435" s="39"/>
      <c r="C435" s="39"/>
      <c r="D435" s="40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38"/>
      <c r="B436" s="39"/>
      <c r="C436" s="39"/>
      <c r="D436" s="40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38"/>
      <c r="B437" s="39"/>
      <c r="C437" s="39"/>
      <c r="D437" s="40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38"/>
      <c r="B438" s="39"/>
      <c r="C438" s="39"/>
      <c r="D438" s="40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38"/>
      <c r="B439" s="39"/>
      <c r="C439" s="39"/>
      <c r="D439" s="40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38"/>
      <c r="B440" s="39"/>
      <c r="C440" s="39"/>
      <c r="D440" s="40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38"/>
      <c r="B441" s="39"/>
      <c r="C441" s="39"/>
      <c r="D441" s="40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38"/>
      <c r="B442" s="39"/>
      <c r="C442" s="39"/>
      <c r="D442" s="40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38"/>
      <c r="B443" s="39"/>
      <c r="C443" s="39"/>
      <c r="D443" s="40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38"/>
      <c r="B444" s="39"/>
      <c r="C444" s="39"/>
      <c r="D444" s="40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38"/>
      <c r="B445" s="39"/>
      <c r="C445" s="39"/>
      <c r="D445" s="40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38"/>
      <c r="B446" s="39"/>
      <c r="C446" s="39"/>
      <c r="D446" s="40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38"/>
      <c r="B447" s="39"/>
      <c r="C447" s="39"/>
      <c r="D447" s="40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38"/>
      <c r="B448" s="39"/>
      <c r="C448" s="39"/>
      <c r="D448" s="40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38"/>
      <c r="B449" s="39"/>
      <c r="C449" s="39"/>
      <c r="D449" s="40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38"/>
      <c r="B450" s="39"/>
      <c r="C450" s="39"/>
      <c r="D450" s="40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38"/>
      <c r="B451" s="39"/>
      <c r="C451" s="39"/>
      <c r="D451" s="40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38"/>
      <c r="B452" s="39"/>
      <c r="C452" s="39"/>
      <c r="D452" s="40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38"/>
      <c r="B453" s="39"/>
      <c r="C453" s="39"/>
      <c r="D453" s="40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38"/>
      <c r="B454" s="39"/>
      <c r="C454" s="39"/>
      <c r="D454" s="40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38"/>
      <c r="B455" s="39"/>
      <c r="C455" s="39"/>
      <c r="D455" s="40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38"/>
      <c r="B456" s="39"/>
      <c r="C456" s="39"/>
      <c r="D456" s="40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38"/>
      <c r="B457" s="39"/>
      <c r="C457" s="39"/>
      <c r="D457" s="40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38"/>
      <c r="B458" s="39"/>
      <c r="C458" s="39"/>
      <c r="D458" s="40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38"/>
      <c r="B459" s="39"/>
      <c r="C459" s="39"/>
      <c r="D459" s="40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38"/>
      <c r="B460" s="39"/>
      <c r="C460" s="39"/>
      <c r="D460" s="40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38"/>
      <c r="B461" s="39"/>
      <c r="C461" s="39"/>
      <c r="D461" s="40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38"/>
      <c r="B462" s="39"/>
      <c r="C462" s="39"/>
      <c r="D462" s="40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38"/>
      <c r="B463" s="39"/>
      <c r="C463" s="39"/>
      <c r="D463" s="40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38"/>
      <c r="B464" s="39"/>
      <c r="C464" s="39"/>
      <c r="D464" s="40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38"/>
      <c r="B465" s="39"/>
      <c r="C465" s="39"/>
      <c r="D465" s="40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38"/>
      <c r="B466" s="39"/>
      <c r="C466" s="39"/>
      <c r="D466" s="40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38"/>
      <c r="B467" s="39"/>
      <c r="C467" s="39"/>
      <c r="D467" s="40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38"/>
      <c r="B468" s="39"/>
      <c r="C468" s="39"/>
      <c r="D468" s="40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38"/>
      <c r="B469" s="39"/>
      <c r="C469" s="39"/>
      <c r="D469" s="40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38"/>
      <c r="B470" s="39"/>
      <c r="C470" s="39"/>
      <c r="D470" s="40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38"/>
      <c r="B471" s="39"/>
      <c r="C471" s="39"/>
      <c r="D471" s="40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38"/>
      <c r="B472" s="39"/>
      <c r="C472" s="39"/>
      <c r="D472" s="40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38"/>
      <c r="B473" s="39"/>
      <c r="C473" s="39"/>
      <c r="D473" s="40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38"/>
      <c r="B474" s="39"/>
      <c r="C474" s="39"/>
      <c r="D474" s="40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38"/>
      <c r="B475" s="39"/>
      <c r="C475" s="39"/>
      <c r="D475" s="40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38"/>
      <c r="B476" s="39"/>
      <c r="C476" s="39"/>
      <c r="D476" s="40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38"/>
      <c r="B477" s="39"/>
      <c r="C477" s="39"/>
      <c r="D477" s="40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38"/>
      <c r="B478" s="39"/>
      <c r="C478" s="39"/>
      <c r="D478" s="40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38"/>
      <c r="B479" s="39"/>
      <c r="C479" s="39"/>
      <c r="D479" s="40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38"/>
      <c r="B480" s="39"/>
      <c r="C480" s="39"/>
      <c r="D480" s="40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38"/>
      <c r="B481" s="39"/>
      <c r="C481" s="39"/>
      <c r="D481" s="40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38"/>
      <c r="B482" s="39"/>
      <c r="C482" s="39"/>
      <c r="D482" s="40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38"/>
      <c r="B483" s="39"/>
      <c r="C483" s="39"/>
      <c r="D483" s="40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38"/>
      <c r="B484" s="39"/>
      <c r="C484" s="39"/>
      <c r="D484" s="40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38"/>
      <c r="B485" s="39"/>
      <c r="C485" s="39"/>
      <c r="D485" s="40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38"/>
      <c r="B486" s="39"/>
      <c r="C486" s="39"/>
      <c r="D486" s="40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38"/>
      <c r="B487" s="39"/>
      <c r="C487" s="39"/>
      <c r="D487" s="40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38"/>
      <c r="B488" s="39"/>
      <c r="C488" s="39"/>
      <c r="D488" s="40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38"/>
      <c r="B489" s="39"/>
      <c r="C489" s="39"/>
      <c r="D489" s="40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38"/>
      <c r="B490" s="39"/>
      <c r="C490" s="39"/>
      <c r="D490" s="40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38"/>
      <c r="B491" s="39"/>
      <c r="C491" s="39"/>
      <c r="D491" s="40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38"/>
      <c r="B492" s="39"/>
      <c r="C492" s="39"/>
      <c r="D492" s="40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38"/>
      <c r="B493" s="39"/>
      <c r="C493" s="39"/>
      <c r="D493" s="40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38"/>
      <c r="B494" s="39"/>
      <c r="C494" s="39"/>
      <c r="D494" s="40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38"/>
      <c r="B495" s="39"/>
      <c r="C495" s="39"/>
      <c r="D495" s="40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38"/>
      <c r="B496" s="39"/>
      <c r="C496" s="39"/>
      <c r="D496" s="40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38"/>
      <c r="B497" s="39"/>
      <c r="C497" s="39"/>
      <c r="D497" s="40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38"/>
      <c r="B498" s="39"/>
      <c r="C498" s="39"/>
      <c r="D498" s="40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38"/>
      <c r="B499" s="39"/>
      <c r="C499" s="39"/>
      <c r="D499" s="40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38"/>
      <c r="B500" s="39"/>
      <c r="C500" s="39"/>
      <c r="D500" s="40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38"/>
      <c r="B501" s="39"/>
      <c r="C501" s="39"/>
      <c r="D501" s="40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38"/>
      <c r="B502" s="39"/>
      <c r="C502" s="39"/>
      <c r="D502" s="40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38"/>
      <c r="B503" s="39"/>
      <c r="C503" s="39"/>
      <c r="D503" s="40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38"/>
      <c r="B504" s="39"/>
      <c r="C504" s="39"/>
      <c r="D504" s="40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38"/>
      <c r="B505" s="39"/>
      <c r="C505" s="39"/>
      <c r="D505" s="40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38"/>
      <c r="B506" s="39"/>
      <c r="C506" s="39"/>
      <c r="D506" s="40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38"/>
      <c r="B507" s="39"/>
      <c r="C507" s="39"/>
      <c r="D507" s="40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38"/>
      <c r="B508" s="39"/>
      <c r="C508" s="39"/>
      <c r="D508" s="40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38"/>
      <c r="B509" s="39"/>
      <c r="C509" s="39"/>
      <c r="D509" s="40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38"/>
      <c r="B510" s="39"/>
      <c r="C510" s="39"/>
      <c r="D510" s="40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38"/>
      <c r="B511" s="39"/>
      <c r="C511" s="39"/>
      <c r="D511" s="40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38"/>
      <c r="B512" s="39"/>
      <c r="C512" s="39"/>
      <c r="D512" s="40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38"/>
      <c r="B513" s="39"/>
      <c r="C513" s="39"/>
      <c r="D513" s="40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38"/>
      <c r="B514" s="39"/>
      <c r="C514" s="39"/>
      <c r="D514" s="40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38"/>
      <c r="B515" s="39"/>
      <c r="C515" s="39"/>
      <c r="D515" s="40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38"/>
      <c r="B516" s="39"/>
      <c r="C516" s="39"/>
      <c r="D516" s="40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38"/>
      <c r="B517" s="39"/>
      <c r="C517" s="39"/>
      <c r="D517" s="40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38"/>
      <c r="B518" s="39"/>
      <c r="C518" s="39"/>
      <c r="D518" s="40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38"/>
      <c r="B519" s="39"/>
      <c r="C519" s="39"/>
      <c r="D519" s="40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38"/>
      <c r="B520" s="39"/>
      <c r="C520" s="39"/>
      <c r="D520" s="40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38"/>
      <c r="B521" s="39"/>
      <c r="C521" s="39"/>
      <c r="D521" s="40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38"/>
      <c r="B522" s="39"/>
      <c r="C522" s="39"/>
      <c r="D522" s="40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38"/>
      <c r="B523" s="39"/>
      <c r="C523" s="39"/>
      <c r="D523" s="40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38"/>
      <c r="B524" s="39"/>
      <c r="C524" s="39"/>
      <c r="D524" s="40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38"/>
      <c r="B525" s="39"/>
      <c r="C525" s="39"/>
      <c r="D525" s="40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38"/>
      <c r="B526" s="39"/>
      <c r="C526" s="39"/>
      <c r="D526" s="40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38"/>
      <c r="B527" s="39"/>
      <c r="C527" s="39"/>
      <c r="D527" s="40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38"/>
      <c r="B528" s="39"/>
      <c r="C528" s="39"/>
      <c r="D528" s="40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38"/>
      <c r="B529" s="39"/>
      <c r="C529" s="39"/>
      <c r="D529" s="40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38"/>
      <c r="B530" s="39"/>
      <c r="C530" s="39"/>
      <c r="D530" s="40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38"/>
      <c r="B531" s="39"/>
      <c r="C531" s="39"/>
      <c r="D531" s="40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38"/>
      <c r="B532" s="39"/>
      <c r="C532" s="39"/>
      <c r="D532" s="40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38"/>
      <c r="B533" s="39"/>
      <c r="C533" s="39"/>
      <c r="D533" s="40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38"/>
      <c r="B534" s="39"/>
      <c r="C534" s="39"/>
      <c r="D534" s="40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38"/>
      <c r="B535" s="39"/>
      <c r="C535" s="39"/>
      <c r="D535" s="40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38"/>
      <c r="B536" s="39"/>
      <c r="C536" s="39"/>
      <c r="D536" s="40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38"/>
      <c r="B537" s="39"/>
      <c r="C537" s="39"/>
      <c r="D537" s="40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38"/>
      <c r="B538" s="39"/>
      <c r="C538" s="39"/>
      <c r="D538" s="40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38"/>
      <c r="B539" s="39"/>
      <c r="C539" s="39"/>
      <c r="D539" s="40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38"/>
      <c r="B540" s="39"/>
      <c r="C540" s="39"/>
      <c r="D540" s="40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38"/>
      <c r="B541" s="39"/>
      <c r="C541" s="39"/>
      <c r="D541" s="40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38"/>
      <c r="B542" s="39"/>
      <c r="C542" s="39"/>
      <c r="D542" s="40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38"/>
      <c r="B543" s="39"/>
      <c r="C543" s="39"/>
      <c r="D543" s="40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38"/>
      <c r="B544" s="39"/>
      <c r="C544" s="39"/>
      <c r="D544" s="40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38"/>
      <c r="B545" s="39"/>
      <c r="C545" s="39"/>
      <c r="D545" s="40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38"/>
      <c r="B546" s="39"/>
      <c r="C546" s="39"/>
      <c r="D546" s="40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38"/>
      <c r="B547" s="39"/>
      <c r="C547" s="39"/>
      <c r="D547" s="40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38"/>
      <c r="B548" s="39"/>
      <c r="C548" s="39"/>
      <c r="D548" s="40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38"/>
      <c r="B549" s="39"/>
      <c r="C549" s="39"/>
      <c r="D549" s="40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38"/>
      <c r="B550" s="39"/>
      <c r="C550" s="39"/>
      <c r="D550" s="40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38"/>
      <c r="B551" s="39"/>
      <c r="C551" s="39"/>
      <c r="D551" s="40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38"/>
      <c r="B552" s="39"/>
      <c r="C552" s="39"/>
      <c r="D552" s="40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38"/>
      <c r="B553" s="39"/>
      <c r="C553" s="39"/>
      <c r="D553" s="40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38"/>
      <c r="B554" s="39"/>
      <c r="C554" s="39"/>
      <c r="D554" s="40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38"/>
      <c r="B555" s="39"/>
      <c r="C555" s="39"/>
      <c r="D555" s="40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38"/>
      <c r="B556" s="39"/>
      <c r="C556" s="39"/>
      <c r="D556" s="40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38"/>
      <c r="B557" s="39"/>
      <c r="C557" s="39"/>
      <c r="D557" s="40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38"/>
      <c r="B558" s="39"/>
      <c r="C558" s="39"/>
      <c r="D558" s="40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38"/>
      <c r="B559" s="39"/>
      <c r="C559" s="39"/>
      <c r="D559" s="40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38"/>
      <c r="B560" s="39"/>
      <c r="C560" s="39"/>
      <c r="D560" s="40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38"/>
      <c r="B561" s="39"/>
      <c r="C561" s="39"/>
      <c r="D561" s="40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38"/>
      <c r="B562" s="39"/>
      <c r="C562" s="39"/>
      <c r="D562" s="40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38"/>
      <c r="B563" s="39"/>
      <c r="C563" s="39"/>
      <c r="D563" s="40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38"/>
      <c r="B564" s="39"/>
      <c r="C564" s="39"/>
      <c r="D564" s="40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38"/>
      <c r="B565" s="39"/>
      <c r="C565" s="39"/>
      <c r="D565" s="40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38"/>
      <c r="B566" s="39"/>
      <c r="C566" s="39"/>
      <c r="D566" s="40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38"/>
      <c r="B567" s="39"/>
      <c r="C567" s="39"/>
      <c r="D567" s="40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38"/>
      <c r="B568" s="39"/>
      <c r="C568" s="39"/>
      <c r="D568" s="40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38"/>
      <c r="B569" s="39"/>
      <c r="C569" s="39"/>
      <c r="D569" s="40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38"/>
      <c r="B570" s="39"/>
      <c r="C570" s="39"/>
      <c r="D570" s="40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38"/>
      <c r="B571" s="39"/>
      <c r="C571" s="39"/>
      <c r="D571" s="40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38"/>
      <c r="B572" s="39"/>
      <c r="C572" s="39"/>
      <c r="D572" s="40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38"/>
      <c r="B573" s="39"/>
      <c r="C573" s="39"/>
      <c r="D573" s="40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38"/>
      <c r="B574" s="39"/>
      <c r="C574" s="39"/>
      <c r="D574" s="40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38"/>
      <c r="B575" s="39"/>
      <c r="C575" s="39"/>
      <c r="D575" s="40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38"/>
      <c r="B576" s="39"/>
      <c r="C576" s="39"/>
      <c r="D576" s="40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38"/>
      <c r="B577" s="39"/>
      <c r="C577" s="39"/>
      <c r="D577" s="40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38"/>
      <c r="B578" s="39"/>
      <c r="C578" s="39"/>
      <c r="D578" s="40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38"/>
      <c r="B579" s="39"/>
      <c r="C579" s="39"/>
      <c r="D579" s="40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38"/>
      <c r="B580" s="39"/>
      <c r="C580" s="39"/>
      <c r="D580" s="40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38"/>
      <c r="B581" s="39"/>
      <c r="C581" s="39"/>
      <c r="D581" s="40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38"/>
      <c r="B582" s="39"/>
      <c r="C582" s="39"/>
      <c r="D582" s="40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38"/>
      <c r="B583" s="39"/>
      <c r="C583" s="39"/>
      <c r="D583" s="40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38"/>
      <c r="B584" s="39"/>
      <c r="C584" s="39"/>
      <c r="D584" s="40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38"/>
      <c r="B585" s="39"/>
      <c r="C585" s="39"/>
      <c r="D585" s="40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38"/>
      <c r="B586" s="39"/>
      <c r="C586" s="39"/>
      <c r="D586" s="40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38"/>
      <c r="B587" s="39"/>
      <c r="C587" s="39"/>
      <c r="D587" s="40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38"/>
      <c r="B588" s="39"/>
      <c r="C588" s="39"/>
      <c r="D588" s="40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38"/>
      <c r="B589" s="39"/>
      <c r="C589" s="39"/>
      <c r="D589" s="40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38"/>
      <c r="B590" s="39"/>
      <c r="C590" s="39"/>
      <c r="D590" s="40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38"/>
      <c r="B591" s="39"/>
      <c r="C591" s="39"/>
      <c r="D591" s="40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38"/>
      <c r="B592" s="39"/>
      <c r="C592" s="39"/>
      <c r="D592" s="40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38"/>
      <c r="B593" s="39"/>
      <c r="C593" s="39"/>
      <c r="D593" s="40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38"/>
      <c r="B594" s="39"/>
      <c r="C594" s="39"/>
      <c r="D594" s="40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38"/>
      <c r="B595" s="39"/>
      <c r="C595" s="39"/>
      <c r="D595" s="40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38"/>
      <c r="B596" s="39"/>
      <c r="C596" s="39"/>
      <c r="D596" s="40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38"/>
      <c r="B597" s="39"/>
      <c r="C597" s="39"/>
      <c r="D597" s="40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38"/>
      <c r="B598" s="39"/>
      <c r="C598" s="39"/>
      <c r="D598" s="40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38"/>
      <c r="B599" s="39"/>
      <c r="C599" s="39"/>
      <c r="D599" s="40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38"/>
      <c r="B600" s="39"/>
      <c r="C600" s="39"/>
      <c r="D600" s="40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38"/>
      <c r="B601" s="39"/>
      <c r="C601" s="39"/>
      <c r="D601" s="40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38"/>
      <c r="B602" s="39"/>
      <c r="C602" s="39"/>
      <c r="D602" s="40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38"/>
      <c r="B603" s="39"/>
      <c r="C603" s="39"/>
      <c r="D603" s="40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38"/>
      <c r="B604" s="39"/>
      <c r="C604" s="39"/>
      <c r="D604" s="40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38"/>
      <c r="B605" s="39"/>
      <c r="C605" s="39"/>
      <c r="D605" s="40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38"/>
      <c r="B606" s="39"/>
      <c r="C606" s="39"/>
      <c r="D606" s="40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38"/>
      <c r="B607" s="39"/>
      <c r="C607" s="39"/>
      <c r="D607" s="40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38"/>
      <c r="B608" s="39"/>
      <c r="C608" s="39"/>
      <c r="D608" s="40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38"/>
      <c r="B609" s="39"/>
      <c r="C609" s="39"/>
      <c r="D609" s="40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38"/>
      <c r="B610" s="39"/>
      <c r="C610" s="39"/>
      <c r="D610" s="40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38"/>
      <c r="B611" s="39"/>
      <c r="C611" s="39"/>
      <c r="D611" s="40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38"/>
      <c r="B612" s="39"/>
      <c r="C612" s="39"/>
      <c r="D612" s="40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38"/>
      <c r="B613" s="39"/>
      <c r="C613" s="39"/>
      <c r="D613" s="40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38"/>
      <c r="B614" s="39"/>
      <c r="C614" s="39"/>
      <c r="D614" s="40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38"/>
      <c r="B615" s="39"/>
      <c r="C615" s="39"/>
      <c r="D615" s="40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38"/>
      <c r="B616" s="39"/>
      <c r="C616" s="39"/>
      <c r="D616" s="40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38"/>
      <c r="B617" s="39"/>
      <c r="C617" s="39"/>
      <c r="D617" s="40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38"/>
      <c r="B618" s="39"/>
      <c r="C618" s="39"/>
      <c r="D618" s="40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38"/>
      <c r="B619" s="39"/>
      <c r="C619" s="39"/>
      <c r="D619" s="40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38"/>
      <c r="B620" s="39"/>
      <c r="C620" s="39"/>
      <c r="D620" s="40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38"/>
      <c r="B621" s="39"/>
      <c r="C621" s="39"/>
      <c r="D621" s="40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38"/>
      <c r="B622" s="39"/>
      <c r="C622" s="39"/>
      <c r="D622" s="40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38"/>
      <c r="B623" s="39"/>
      <c r="C623" s="39"/>
      <c r="D623" s="40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38"/>
      <c r="B624" s="39"/>
      <c r="C624" s="39"/>
      <c r="D624" s="40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38"/>
      <c r="B625" s="39"/>
      <c r="C625" s="39"/>
      <c r="D625" s="40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38"/>
      <c r="B626" s="39"/>
      <c r="C626" s="39"/>
      <c r="D626" s="40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38"/>
      <c r="B627" s="39"/>
      <c r="C627" s="39"/>
      <c r="D627" s="40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38"/>
      <c r="B628" s="39"/>
      <c r="C628" s="39"/>
      <c r="D628" s="40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38"/>
      <c r="B629" s="39"/>
      <c r="C629" s="39"/>
      <c r="D629" s="40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38"/>
      <c r="B630" s="39"/>
      <c r="C630" s="39"/>
      <c r="D630" s="40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38"/>
      <c r="B631" s="39"/>
      <c r="C631" s="39"/>
      <c r="D631" s="40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38"/>
      <c r="B632" s="39"/>
      <c r="C632" s="39"/>
      <c r="D632" s="40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38"/>
      <c r="B633" s="39"/>
      <c r="C633" s="39"/>
      <c r="D633" s="40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38"/>
      <c r="B634" s="39"/>
      <c r="C634" s="39"/>
      <c r="D634" s="40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38"/>
      <c r="B635" s="39"/>
      <c r="C635" s="39"/>
      <c r="D635" s="40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38"/>
      <c r="B636" s="39"/>
      <c r="C636" s="39"/>
      <c r="D636" s="40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38"/>
      <c r="B637" s="39"/>
      <c r="C637" s="39"/>
      <c r="D637" s="40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38"/>
      <c r="B638" s="39"/>
      <c r="C638" s="39"/>
      <c r="D638" s="40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38"/>
      <c r="B639" s="39"/>
      <c r="C639" s="39"/>
      <c r="D639" s="40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38"/>
      <c r="B640" s="39"/>
      <c r="C640" s="39"/>
      <c r="D640" s="40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38"/>
      <c r="B641" s="39"/>
      <c r="C641" s="39"/>
      <c r="D641" s="40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38"/>
      <c r="B642" s="39"/>
      <c r="C642" s="39"/>
      <c r="D642" s="40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38"/>
      <c r="B643" s="39"/>
      <c r="C643" s="39"/>
      <c r="D643" s="40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38"/>
      <c r="B644" s="39"/>
      <c r="C644" s="39"/>
      <c r="D644" s="40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38"/>
      <c r="B645" s="39"/>
      <c r="C645" s="39"/>
      <c r="D645" s="40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38"/>
      <c r="B646" s="39"/>
      <c r="C646" s="39"/>
      <c r="D646" s="40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38"/>
      <c r="B647" s="39"/>
      <c r="C647" s="39"/>
      <c r="D647" s="40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38"/>
      <c r="B648" s="39"/>
      <c r="C648" s="39"/>
      <c r="D648" s="40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38"/>
      <c r="B649" s="39"/>
      <c r="C649" s="39"/>
      <c r="D649" s="40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38"/>
      <c r="B650" s="39"/>
      <c r="C650" s="39"/>
      <c r="D650" s="40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38"/>
      <c r="B651" s="39"/>
      <c r="C651" s="39"/>
      <c r="D651" s="40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38"/>
      <c r="B652" s="39"/>
      <c r="C652" s="39"/>
      <c r="D652" s="40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38"/>
      <c r="B653" s="39"/>
      <c r="C653" s="39"/>
      <c r="D653" s="40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38"/>
      <c r="B654" s="39"/>
      <c r="C654" s="39"/>
      <c r="D654" s="40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38"/>
      <c r="B655" s="39"/>
      <c r="C655" s="39"/>
      <c r="D655" s="40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38"/>
      <c r="B656" s="39"/>
      <c r="C656" s="39"/>
      <c r="D656" s="40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38"/>
      <c r="B657" s="39"/>
      <c r="C657" s="39"/>
      <c r="D657" s="40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38"/>
      <c r="B658" s="39"/>
      <c r="C658" s="39"/>
      <c r="D658" s="40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38"/>
      <c r="B659" s="39"/>
      <c r="C659" s="39"/>
      <c r="D659" s="40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38"/>
      <c r="B660" s="39"/>
      <c r="C660" s="39"/>
      <c r="D660" s="40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38"/>
      <c r="B661" s="39"/>
      <c r="C661" s="39"/>
      <c r="D661" s="40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38"/>
      <c r="B662" s="39"/>
      <c r="C662" s="39"/>
      <c r="D662" s="40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38"/>
      <c r="B663" s="39"/>
      <c r="C663" s="39"/>
      <c r="D663" s="40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38"/>
      <c r="B664" s="39"/>
      <c r="C664" s="39"/>
      <c r="D664" s="40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38"/>
      <c r="B665" s="39"/>
      <c r="C665" s="39"/>
      <c r="D665" s="40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38"/>
      <c r="B666" s="39"/>
      <c r="C666" s="39"/>
      <c r="D666" s="40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38"/>
      <c r="B667" s="39"/>
      <c r="C667" s="39"/>
      <c r="D667" s="40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38"/>
      <c r="B668" s="39"/>
      <c r="C668" s="39"/>
      <c r="D668" s="40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38"/>
      <c r="B669" s="39"/>
      <c r="C669" s="39"/>
      <c r="D669" s="40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38"/>
      <c r="B670" s="39"/>
      <c r="C670" s="39"/>
      <c r="D670" s="40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38"/>
      <c r="B671" s="39"/>
      <c r="C671" s="39"/>
      <c r="D671" s="40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38"/>
      <c r="B672" s="39"/>
      <c r="C672" s="39"/>
      <c r="D672" s="40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38"/>
      <c r="B673" s="39"/>
      <c r="C673" s="39"/>
      <c r="D673" s="40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38"/>
      <c r="B674" s="39"/>
      <c r="C674" s="39"/>
      <c r="D674" s="40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38"/>
      <c r="B675" s="39"/>
      <c r="C675" s="39"/>
      <c r="D675" s="40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38"/>
      <c r="B676" s="39"/>
      <c r="C676" s="39"/>
      <c r="D676" s="40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38"/>
      <c r="B677" s="39"/>
      <c r="C677" s="39"/>
      <c r="D677" s="40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38"/>
      <c r="B678" s="39"/>
      <c r="C678" s="39"/>
      <c r="D678" s="40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38"/>
      <c r="B679" s="39"/>
      <c r="C679" s="39"/>
      <c r="D679" s="40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38"/>
      <c r="B680" s="39"/>
      <c r="C680" s="39"/>
      <c r="D680" s="40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38"/>
      <c r="B681" s="39"/>
      <c r="C681" s="39"/>
      <c r="D681" s="40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38"/>
      <c r="B682" s="39"/>
      <c r="C682" s="39"/>
      <c r="D682" s="40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38"/>
      <c r="B683" s="39"/>
      <c r="C683" s="39"/>
      <c r="D683" s="40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38"/>
      <c r="B684" s="39"/>
      <c r="C684" s="39"/>
      <c r="D684" s="40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38"/>
      <c r="B685" s="39"/>
      <c r="C685" s="39"/>
      <c r="D685" s="40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38"/>
      <c r="B686" s="39"/>
      <c r="C686" s="39"/>
      <c r="D686" s="40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38"/>
      <c r="B687" s="39"/>
      <c r="C687" s="39"/>
      <c r="D687" s="40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38"/>
      <c r="B688" s="39"/>
      <c r="C688" s="39"/>
      <c r="D688" s="40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38"/>
      <c r="B689" s="39"/>
      <c r="C689" s="39"/>
      <c r="D689" s="40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38"/>
      <c r="B690" s="39"/>
      <c r="C690" s="39"/>
      <c r="D690" s="40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38"/>
      <c r="B691" s="39"/>
      <c r="C691" s="39"/>
      <c r="D691" s="40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38"/>
      <c r="B692" s="39"/>
      <c r="C692" s="39"/>
      <c r="D692" s="40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38"/>
      <c r="B693" s="39"/>
      <c r="C693" s="39"/>
      <c r="D693" s="40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38"/>
      <c r="B694" s="39"/>
      <c r="C694" s="39"/>
      <c r="D694" s="40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38"/>
      <c r="B695" s="39"/>
      <c r="C695" s="39"/>
      <c r="D695" s="40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38"/>
      <c r="B696" s="39"/>
      <c r="C696" s="39"/>
      <c r="D696" s="40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38"/>
      <c r="B697" s="39"/>
      <c r="C697" s="39"/>
      <c r="D697" s="40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38"/>
      <c r="B698" s="39"/>
      <c r="C698" s="39"/>
      <c r="D698" s="40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38"/>
      <c r="B699" s="39"/>
      <c r="C699" s="39"/>
      <c r="D699" s="40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38"/>
      <c r="B700" s="39"/>
      <c r="C700" s="39"/>
      <c r="D700" s="40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38"/>
      <c r="B701" s="39"/>
      <c r="C701" s="39"/>
      <c r="D701" s="40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38"/>
      <c r="B702" s="39"/>
      <c r="C702" s="39"/>
      <c r="D702" s="40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38"/>
      <c r="B703" s="39"/>
      <c r="C703" s="39"/>
      <c r="D703" s="40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38"/>
      <c r="B704" s="39"/>
      <c r="C704" s="39"/>
      <c r="D704" s="40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38"/>
      <c r="B705" s="39"/>
      <c r="C705" s="39"/>
      <c r="D705" s="40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38"/>
      <c r="B706" s="39"/>
      <c r="C706" s="39"/>
      <c r="D706" s="40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38"/>
      <c r="B707" s="39"/>
      <c r="C707" s="39"/>
      <c r="D707" s="40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38"/>
      <c r="B708" s="39"/>
      <c r="C708" s="39"/>
      <c r="D708" s="40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38"/>
      <c r="B709" s="39"/>
      <c r="C709" s="39"/>
      <c r="D709" s="40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38"/>
      <c r="B710" s="39"/>
      <c r="C710" s="39"/>
      <c r="D710" s="40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38"/>
      <c r="B711" s="39"/>
      <c r="C711" s="39"/>
      <c r="D711" s="40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38"/>
      <c r="B712" s="39"/>
      <c r="C712" s="39"/>
      <c r="D712" s="40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38"/>
      <c r="B713" s="39"/>
      <c r="C713" s="39"/>
      <c r="D713" s="40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38"/>
      <c r="B714" s="39"/>
      <c r="C714" s="39"/>
      <c r="D714" s="40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38"/>
      <c r="B715" s="39"/>
      <c r="C715" s="39"/>
      <c r="D715" s="40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38"/>
      <c r="B716" s="39"/>
      <c r="C716" s="39"/>
      <c r="D716" s="40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38"/>
      <c r="B717" s="39"/>
      <c r="C717" s="39"/>
      <c r="D717" s="40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38"/>
      <c r="B718" s="39"/>
      <c r="C718" s="39"/>
      <c r="D718" s="40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38"/>
      <c r="B719" s="39"/>
      <c r="C719" s="39"/>
      <c r="D719" s="40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38"/>
      <c r="B720" s="39"/>
      <c r="C720" s="39"/>
      <c r="D720" s="40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38"/>
      <c r="B721" s="39"/>
      <c r="C721" s="39"/>
      <c r="D721" s="40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38"/>
      <c r="B722" s="39"/>
      <c r="C722" s="39"/>
      <c r="D722" s="40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38"/>
      <c r="B723" s="39"/>
      <c r="C723" s="39"/>
      <c r="D723" s="40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38"/>
      <c r="B724" s="39"/>
      <c r="C724" s="39"/>
      <c r="D724" s="40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38"/>
      <c r="B725" s="39"/>
      <c r="C725" s="39"/>
      <c r="D725" s="40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38"/>
      <c r="B726" s="39"/>
      <c r="C726" s="39"/>
      <c r="D726" s="40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38"/>
      <c r="B727" s="39"/>
      <c r="C727" s="39"/>
      <c r="D727" s="40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38"/>
      <c r="B728" s="39"/>
      <c r="C728" s="39"/>
      <c r="D728" s="40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38"/>
      <c r="B729" s="39"/>
      <c r="C729" s="39"/>
      <c r="D729" s="40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38"/>
      <c r="B730" s="39"/>
      <c r="C730" s="39"/>
      <c r="D730" s="40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38"/>
      <c r="B731" s="39"/>
      <c r="C731" s="39"/>
      <c r="D731" s="40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38"/>
      <c r="B732" s="39"/>
      <c r="C732" s="39"/>
      <c r="D732" s="40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38"/>
      <c r="B733" s="39"/>
      <c r="C733" s="39"/>
      <c r="D733" s="40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38"/>
      <c r="B734" s="39"/>
      <c r="C734" s="39"/>
      <c r="D734" s="40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38"/>
      <c r="B735" s="39"/>
      <c r="C735" s="39"/>
      <c r="D735" s="40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38"/>
      <c r="B736" s="39"/>
      <c r="C736" s="39"/>
      <c r="D736" s="40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38"/>
      <c r="B737" s="39"/>
      <c r="C737" s="39"/>
      <c r="D737" s="40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38"/>
      <c r="B738" s="39"/>
      <c r="C738" s="39"/>
      <c r="D738" s="40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38"/>
      <c r="B739" s="39"/>
      <c r="C739" s="39"/>
      <c r="D739" s="40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38"/>
      <c r="B740" s="39"/>
      <c r="C740" s="39"/>
      <c r="D740" s="40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38"/>
      <c r="B741" s="39"/>
      <c r="C741" s="39"/>
      <c r="D741" s="40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38"/>
      <c r="B742" s="39"/>
      <c r="C742" s="39"/>
      <c r="D742" s="40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38"/>
      <c r="B743" s="39"/>
      <c r="C743" s="39"/>
      <c r="D743" s="40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38"/>
      <c r="B744" s="39"/>
      <c r="C744" s="39"/>
      <c r="D744" s="40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38"/>
      <c r="B745" s="39"/>
      <c r="C745" s="39"/>
      <c r="D745" s="40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38"/>
      <c r="B746" s="39"/>
      <c r="C746" s="39"/>
      <c r="D746" s="40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38"/>
      <c r="B747" s="39"/>
      <c r="C747" s="39"/>
      <c r="D747" s="40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38"/>
      <c r="B748" s="39"/>
      <c r="C748" s="39"/>
      <c r="D748" s="40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38"/>
      <c r="B749" s="39"/>
      <c r="C749" s="39"/>
      <c r="D749" s="40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38"/>
      <c r="B750" s="39"/>
      <c r="C750" s="39"/>
      <c r="D750" s="40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38"/>
      <c r="B751" s="39"/>
      <c r="C751" s="39"/>
      <c r="D751" s="40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38"/>
      <c r="B752" s="39"/>
      <c r="C752" s="39"/>
      <c r="D752" s="40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38"/>
      <c r="B753" s="39"/>
      <c r="C753" s="39"/>
      <c r="D753" s="40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38"/>
      <c r="B754" s="39"/>
      <c r="C754" s="39"/>
      <c r="D754" s="40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38"/>
      <c r="B755" s="39"/>
      <c r="C755" s="39"/>
      <c r="D755" s="40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38"/>
      <c r="B756" s="39"/>
      <c r="C756" s="39"/>
      <c r="D756" s="40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38"/>
      <c r="B757" s="39"/>
      <c r="C757" s="39"/>
      <c r="D757" s="40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38"/>
      <c r="B758" s="39"/>
      <c r="C758" s="39"/>
      <c r="D758" s="40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38"/>
      <c r="B759" s="39"/>
      <c r="C759" s="39"/>
      <c r="D759" s="40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38"/>
      <c r="B760" s="39"/>
      <c r="C760" s="39"/>
      <c r="D760" s="40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38"/>
      <c r="B761" s="39"/>
      <c r="C761" s="39"/>
      <c r="D761" s="40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38"/>
      <c r="B762" s="39"/>
      <c r="C762" s="39"/>
      <c r="D762" s="40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38"/>
      <c r="B763" s="39"/>
      <c r="C763" s="39"/>
      <c r="D763" s="40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38"/>
      <c r="B764" s="39"/>
      <c r="C764" s="39"/>
      <c r="D764" s="40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38"/>
      <c r="B765" s="39"/>
      <c r="C765" s="39"/>
      <c r="D765" s="40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38"/>
      <c r="B766" s="39"/>
      <c r="C766" s="39"/>
      <c r="D766" s="40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38"/>
      <c r="B767" s="39"/>
      <c r="C767" s="39"/>
      <c r="D767" s="40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38"/>
      <c r="B768" s="39"/>
      <c r="C768" s="39"/>
      <c r="D768" s="40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38"/>
      <c r="B769" s="39"/>
      <c r="C769" s="39"/>
      <c r="D769" s="40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38"/>
      <c r="B770" s="39"/>
      <c r="C770" s="39"/>
      <c r="D770" s="40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38"/>
      <c r="B771" s="39"/>
      <c r="C771" s="39"/>
      <c r="D771" s="40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38"/>
      <c r="B772" s="39"/>
      <c r="C772" s="39"/>
      <c r="D772" s="40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38"/>
      <c r="B773" s="39"/>
      <c r="C773" s="39"/>
      <c r="D773" s="40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38"/>
      <c r="B774" s="39"/>
      <c r="C774" s="39"/>
      <c r="D774" s="40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38"/>
      <c r="B775" s="39"/>
      <c r="C775" s="39"/>
      <c r="D775" s="40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38"/>
      <c r="B776" s="39"/>
      <c r="C776" s="39"/>
      <c r="D776" s="40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38"/>
      <c r="B777" s="39"/>
      <c r="C777" s="39"/>
      <c r="D777" s="40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38"/>
      <c r="B778" s="39"/>
      <c r="C778" s="39"/>
      <c r="D778" s="40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38"/>
      <c r="B779" s="39"/>
      <c r="C779" s="39"/>
      <c r="D779" s="40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38"/>
      <c r="B780" s="39"/>
      <c r="C780" s="39"/>
      <c r="D780" s="40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38"/>
      <c r="B781" s="39"/>
      <c r="C781" s="39"/>
      <c r="D781" s="40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38"/>
      <c r="B782" s="39"/>
      <c r="C782" s="39"/>
      <c r="D782" s="40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38"/>
      <c r="B783" s="39"/>
      <c r="C783" s="39"/>
      <c r="D783" s="40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38"/>
      <c r="B784" s="39"/>
      <c r="C784" s="39"/>
      <c r="D784" s="40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38"/>
      <c r="B785" s="39"/>
      <c r="C785" s="39"/>
      <c r="D785" s="40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38"/>
      <c r="B786" s="39"/>
      <c r="C786" s="39"/>
      <c r="D786" s="40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38"/>
      <c r="B787" s="39"/>
      <c r="C787" s="39"/>
      <c r="D787" s="40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38"/>
      <c r="B788" s="39"/>
      <c r="C788" s="39"/>
      <c r="D788" s="40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38"/>
      <c r="B789" s="39"/>
      <c r="C789" s="39"/>
      <c r="D789" s="40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38"/>
      <c r="B790" s="39"/>
      <c r="C790" s="39"/>
      <c r="D790" s="40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38"/>
      <c r="B791" s="39"/>
      <c r="C791" s="39"/>
      <c r="D791" s="40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38"/>
      <c r="B792" s="39"/>
      <c r="C792" s="39"/>
      <c r="D792" s="40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38"/>
      <c r="B793" s="39"/>
      <c r="C793" s="39"/>
      <c r="D793" s="40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38"/>
      <c r="B794" s="39"/>
      <c r="C794" s="39"/>
      <c r="D794" s="40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38"/>
      <c r="B795" s="39"/>
      <c r="C795" s="39"/>
      <c r="D795" s="40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38"/>
      <c r="B796" s="39"/>
      <c r="C796" s="39"/>
      <c r="D796" s="40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38"/>
      <c r="B797" s="39"/>
      <c r="C797" s="39"/>
      <c r="D797" s="40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38"/>
      <c r="B798" s="39"/>
      <c r="C798" s="39"/>
      <c r="D798" s="40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38"/>
      <c r="B799" s="39"/>
      <c r="C799" s="39"/>
      <c r="D799" s="40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38"/>
      <c r="B800" s="39"/>
      <c r="C800" s="39"/>
      <c r="D800" s="40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38"/>
      <c r="B801" s="39"/>
      <c r="C801" s="39"/>
      <c r="D801" s="40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38"/>
      <c r="B802" s="39"/>
      <c r="C802" s="39"/>
      <c r="D802" s="40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38"/>
      <c r="B803" s="39"/>
      <c r="C803" s="39"/>
      <c r="D803" s="40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38"/>
      <c r="B804" s="39"/>
      <c r="C804" s="39"/>
      <c r="D804" s="40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38"/>
      <c r="B805" s="39"/>
      <c r="C805" s="39"/>
      <c r="D805" s="40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38"/>
      <c r="B806" s="39"/>
      <c r="C806" s="39"/>
      <c r="D806" s="40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38"/>
      <c r="B807" s="39"/>
      <c r="C807" s="39"/>
      <c r="D807" s="40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38"/>
      <c r="B808" s="39"/>
      <c r="C808" s="39"/>
      <c r="D808" s="40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38"/>
      <c r="B809" s="39"/>
      <c r="C809" s="39"/>
      <c r="D809" s="40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38"/>
      <c r="B810" s="39"/>
      <c r="C810" s="39"/>
      <c r="D810" s="40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38"/>
      <c r="B811" s="39"/>
      <c r="C811" s="39"/>
      <c r="D811" s="40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38"/>
      <c r="B812" s="39"/>
      <c r="C812" s="39"/>
      <c r="D812" s="40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38"/>
      <c r="B813" s="39"/>
      <c r="C813" s="39"/>
      <c r="D813" s="40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38"/>
      <c r="B814" s="39"/>
      <c r="C814" s="39"/>
      <c r="D814" s="40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38"/>
      <c r="B815" s="39"/>
      <c r="C815" s="39"/>
      <c r="D815" s="40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38"/>
      <c r="B816" s="39"/>
      <c r="C816" s="39"/>
      <c r="D816" s="40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38"/>
      <c r="B817" s="39"/>
      <c r="C817" s="39"/>
      <c r="D817" s="40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38"/>
      <c r="B818" s="39"/>
      <c r="C818" s="39"/>
      <c r="D818" s="40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38"/>
      <c r="B819" s="39"/>
      <c r="C819" s="39"/>
      <c r="D819" s="40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38"/>
      <c r="B820" s="39"/>
      <c r="C820" s="39"/>
      <c r="D820" s="40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38"/>
      <c r="B821" s="39"/>
      <c r="C821" s="39"/>
      <c r="D821" s="40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38"/>
      <c r="B822" s="39"/>
      <c r="C822" s="39"/>
      <c r="D822" s="40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38"/>
      <c r="B823" s="39"/>
      <c r="C823" s="39"/>
      <c r="D823" s="40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38"/>
      <c r="B824" s="39"/>
      <c r="C824" s="39"/>
      <c r="D824" s="40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38"/>
      <c r="B825" s="39"/>
      <c r="C825" s="39"/>
      <c r="D825" s="40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38"/>
      <c r="B826" s="39"/>
      <c r="C826" s="39"/>
      <c r="D826" s="40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38"/>
      <c r="B827" s="39"/>
      <c r="C827" s="39"/>
      <c r="D827" s="40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38"/>
      <c r="B828" s="39"/>
      <c r="C828" s="39"/>
      <c r="D828" s="40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38"/>
      <c r="B829" s="39"/>
      <c r="C829" s="39"/>
      <c r="D829" s="40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38"/>
      <c r="B830" s="39"/>
      <c r="C830" s="39"/>
      <c r="D830" s="40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38"/>
      <c r="B831" s="39"/>
      <c r="C831" s="39"/>
      <c r="D831" s="40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38"/>
      <c r="B832" s="39"/>
      <c r="C832" s="39"/>
      <c r="D832" s="40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38"/>
      <c r="B833" s="39"/>
      <c r="C833" s="39"/>
      <c r="D833" s="40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38"/>
      <c r="B834" s="39"/>
      <c r="C834" s="39"/>
      <c r="D834" s="40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38"/>
      <c r="B835" s="39"/>
      <c r="C835" s="39"/>
      <c r="D835" s="40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38"/>
      <c r="B836" s="39"/>
      <c r="C836" s="39"/>
      <c r="D836" s="40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38"/>
      <c r="B837" s="39"/>
      <c r="C837" s="39"/>
      <c r="D837" s="40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38"/>
      <c r="B838" s="39"/>
      <c r="C838" s="39"/>
      <c r="D838" s="40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38"/>
      <c r="B839" s="39"/>
      <c r="C839" s="39"/>
      <c r="D839" s="40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38"/>
      <c r="B840" s="39"/>
      <c r="C840" s="39"/>
      <c r="D840" s="40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38"/>
      <c r="B841" s="39"/>
      <c r="C841" s="39"/>
      <c r="D841" s="40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38"/>
      <c r="B842" s="39"/>
      <c r="C842" s="39"/>
      <c r="D842" s="40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38"/>
      <c r="B843" s="39"/>
      <c r="C843" s="39"/>
      <c r="D843" s="40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38"/>
      <c r="B844" s="39"/>
      <c r="C844" s="39"/>
      <c r="D844" s="40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38"/>
      <c r="B845" s="39"/>
      <c r="C845" s="39"/>
      <c r="D845" s="40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38"/>
      <c r="B846" s="39"/>
      <c r="C846" s="39"/>
      <c r="D846" s="40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38"/>
      <c r="B847" s="39"/>
      <c r="C847" s="39"/>
      <c r="D847" s="40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38"/>
      <c r="B848" s="39"/>
      <c r="C848" s="39"/>
      <c r="D848" s="40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38"/>
      <c r="B849" s="39"/>
      <c r="C849" s="39"/>
      <c r="D849" s="40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38"/>
      <c r="B850" s="39"/>
      <c r="C850" s="39"/>
      <c r="D850" s="40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38"/>
      <c r="B851" s="39"/>
      <c r="C851" s="39"/>
      <c r="D851" s="40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38"/>
      <c r="B852" s="39"/>
      <c r="C852" s="39"/>
      <c r="D852" s="40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38"/>
      <c r="B853" s="39"/>
      <c r="C853" s="39"/>
      <c r="D853" s="40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38"/>
      <c r="B854" s="39"/>
      <c r="C854" s="39"/>
      <c r="D854" s="40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38"/>
      <c r="B855" s="39"/>
      <c r="C855" s="39"/>
      <c r="D855" s="40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38"/>
      <c r="B856" s="39"/>
      <c r="C856" s="39"/>
      <c r="D856" s="40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38"/>
      <c r="B857" s="39"/>
      <c r="C857" s="39"/>
      <c r="D857" s="40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38"/>
      <c r="B858" s="39"/>
      <c r="C858" s="39"/>
      <c r="D858" s="40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38"/>
      <c r="B859" s="39"/>
      <c r="C859" s="39"/>
      <c r="D859" s="40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38"/>
      <c r="B860" s="39"/>
      <c r="C860" s="39"/>
      <c r="D860" s="40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38"/>
      <c r="B861" s="39"/>
      <c r="C861" s="39"/>
      <c r="D861" s="40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38"/>
      <c r="B862" s="39"/>
      <c r="C862" s="39"/>
      <c r="D862" s="40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38"/>
      <c r="B863" s="39"/>
      <c r="C863" s="39"/>
      <c r="D863" s="40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38"/>
      <c r="B864" s="39"/>
      <c r="C864" s="39"/>
      <c r="D864" s="40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38"/>
      <c r="B865" s="39"/>
      <c r="C865" s="39"/>
      <c r="D865" s="40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38"/>
      <c r="B866" s="39"/>
      <c r="C866" s="39"/>
      <c r="D866" s="40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38"/>
      <c r="B867" s="39"/>
      <c r="C867" s="39"/>
      <c r="D867" s="40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38"/>
      <c r="B868" s="39"/>
      <c r="C868" s="39"/>
      <c r="D868" s="40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38"/>
      <c r="B869" s="39"/>
      <c r="C869" s="39"/>
      <c r="D869" s="40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38"/>
      <c r="B870" s="39"/>
      <c r="C870" s="39"/>
      <c r="D870" s="40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38"/>
      <c r="B871" s="39"/>
      <c r="C871" s="39"/>
      <c r="D871" s="40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38"/>
      <c r="B872" s="39"/>
      <c r="C872" s="39"/>
      <c r="D872" s="40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38"/>
      <c r="B873" s="39"/>
      <c r="C873" s="39"/>
      <c r="D873" s="40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38"/>
      <c r="B874" s="39"/>
      <c r="C874" s="39"/>
      <c r="D874" s="40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38"/>
      <c r="B875" s="39"/>
      <c r="C875" s="39"/>
      <c r="D875" s="40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38"/>
      <c r="B876" s="39"/>
      <c r="C876" s="39"/>
      <c r="D876" s="40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38"/>
      <c r="B877" s="39"/>
      <c r="C877" s="39"/>
      <c r="D877" s="40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38"/>
      <c r="B878" s="39"/>
      <c r="C878" s="39"/>
      <c r="D878" s="40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38"/>
      <c r="B879" s="39"/>
      <c r="C879" s="39"/>
      <c r="D879" s="40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38"/>
      <c r="B880" s="39"/>
      <c r="C880" s="39"/>
      <c r="D880" s="40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38"/>
      <c r="B881" s="39"/>
      <c r="C881" s="39"/>
      <c r="D881" s="40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38"/>
      <c r="B882" s="39"/>
      <c r="C882" s="39"/>
      <c r="D882" s="40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38"/>
      <c r="B883" s="39"/>
      <c r="C883" s="39"/>
      <c r="D883" s="40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38"/>
      <c r="B884" s="39"/>
      <c r="C884" s="39"/>
      <c r="D884" s="40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38"/>
      <c r="B885" s="39"/>
      <c r="C885" s="39"/>
      <c r="D885" s="40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38"/>
      <c r="B886" s="39"/>
      <c r="C886" s="39"/>
      <c r="D886" s="40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38"/>
      <c r="B887" s="39"/>
      <c r="C887" s="39"/>
      <c r="D887" s="40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38"/>
      <c r="B888" s="39"/>
      <c r="C888" s="39"/>
      <c r="D888" s="40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38"/>
      <c r="B889" s="39"/>
      <c r="C889" s="39"/>
      <c r="D889" s="40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38"/>
      <c r="B890" s="39"/>
      <c r="C890" s="39"/>
      <c r="D890" s="40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38"/>
      <c r="B891" s="39"/>
      <c r="C891" s="39"/>
      <c r="D891" s="40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38"/>
      <c r="B892" s="39"/>
      <c r="C892" s="39"/>
      <c r="D892" s="40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38"/>
      <c r="B893" s="39"/>
      <c r="C893" s="39"/>
      <c r="D893" s="40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38"/>
      <c r="B894" s="39"/>
      <c r="C894" s="39"/>
      <c r="D894" s="40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38"/>
      <c r="B895" s="39"/>
      <c r="C895" s="39"/>
      <c r="D895" s="40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38"/>
      <c r="B896" s="39"/>
      <c r="C896" s="39"/>
      <c r="D896" s="40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38"/>
      <c r="B897" s="39"/>
      <c r="C897" s="39"/>
      <c r="D897" s="40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38"/>
      <c r="B898" s="39"/>
      <c r="C898" s="39"/>
      <c r="D898" s="40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38"/>
      <c r="B899" s="39"/>
      <c r="C899" s="39"/>
      <c r="D899" s="40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38"/>
      <c r="B900" s="39"/>
      <c r="C900" s="39"/>
      <c r="D900" s="40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38"/>
      <c r="B901" s="39"/>
      <c r="C901" s="39"/>
      <c r="D901" s="40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38"/>
      <c r="B902" s="39"/>
      <c r="C902" s="39"/>
      <c r="D902" s="40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38"/>
      <c r="B903" s="39"/>
      <c r="C903" s="39"/>
      <c r="D903" s="40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38"/>
      <c r="B904" s="39"/>
      <c r="C904" s="39"/>
      <c r="D904" s="40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38"/>
      <c r="B905" s="39"/>
      <c r="C905" s="39"/>
      <c r="D905" s="40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38"/>
      <c r="B906" s="39"/>
      <c r="C906" s="39"/>
      <c r="D906" s="40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38"/>
      <c r="B907" s="39"/>
      <c r="C907" s="39"/>
      <c r="D907" s="40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38"/>
      <c r="B908" s="39"/>
      <c r="C908" s="39"/>
      <c r="D908" s="40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38"/>
      <c r="B909" s="39"/>
      <c r="C909" s="39"/>
      <c r="D909" s="40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38"/>
      <c r="B910" s="39"/>
      <c r="C910" s="39"/>
      <c r="D910" s="40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38"/>
      <c r="B911" s="39"/>
      <c r="C911" s="39"/>
      <c r="D911" s="40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38"/>
      <c r="B912" s="39"/>
      <c r="C912" s="39"/>
      <c r="D912" s="40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38"/>
      <c r="B913" s="39"/>
      <c r="C913" s="39"/>
      <c r="D913" s="40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38"/>
      <c r="B914" s="39"/>
      <c r="C914" s="39"/>
      <c r="D914" s="40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38"/>
      <c r="B915" s="39"/>
      <c r="C915" s="39"/>
      <c r="D915" s="40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38"/>
      <c r="B916" s="39"/>
      <c r="C916" s="39"/>
      <c r="D916" s="40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38"/>
      <c r="B917" s="39"/>
      <c r="C917" s="39"/>
      <c r="D917" s="40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38"/>
      <c r="B918" s="39"/>
      <c r="C918" s="39"/>
      <c r="D918" s="40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38"/>
      <c r="B919" s="39"/>
      <c r="C919" s="39"/>
      <c r="D919" s="40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38"/>
      <c r="B920" s="39"/>
      <c r="C920" s="39"/>
      <c r="D920" s="40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38"/>
      <c r="B921" s="39"/>
      <c r="C921" s="39"/>
      <c r="D921" s="40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38"/>
      <c r="B922" s="39"/>
      <c r="C922" s="39"/>
      <c r="D922" s="40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38"/>
      <c r="B923" s="39"/>
      <c r="C923" s="39"/>
      <c r="D923" s="40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38"/>
      <c r="B924" s="39"/>
      <c r="C924" s="39"/>
      <c r="D924" s="40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38"/>
      <c r="B925" s="39"/>
      <c r="C925" s="39"/>
      <c r="D925" s="40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38"/>
      <c r="B926" s="39"/>
      <c r="C926" s="39"/>
      <c r="D926" s="40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38"/>
      <c r="B927" s="39"/>
      <c r="C927" s="39"/>
      <c r="D927" s="40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38"/>
      <c r="B928" s="39"/>
      <c r="C928" s="39"/>
      <c r="D928" s="40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38"/>
      <c r="B929" s="39"/>
      <c r="C929" s="39"/>
      <c r="D929" s="40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38"/>
      <c r="B930" s="39"/>
      <c r="C930" s="39"/>
      <c r="D930" s="40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38"/>
      <c r="B931" s="39"/>
      <c r="C931" s="39"/>
      <c r="D931" s="40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38"/>
      <c r="B932" s="39"/>
      <c r="C932" s="39"/>
      <c r="D932" s="40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38"/>
      <c r="B933" s="39"/>
      <c r="C933" s="39"/>
      <c r="D933" s="40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38"/>
      <c r="B934" s="39"/>
      <c r="C934" s="39"/>
      <c r="D934" s="40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38"/>
      <c r="B935" s="39"/>
      <c r="C935" s="39"/>
      <c r="D935" s="40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38"/>
      <c r="B936" s="39"/>
      <c r="C936" s="39"/>
      <c r="D936" s="40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38"/>
      <c r="B937" s="39"/>
      <c r="C937" s="39"/>
      <c r="D937" s="40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38"/>
      <c r="B938" s="39"/>
      <c r="C938" s="39"/>
      <c r="D938" s="40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38"/>
      <c r="B939" s="39"/>
      <c r="C939" s="39"/>
      <c r="D939" s="40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38"/>
      <c r="B940" s="39"/>
      <c r="C940" s="39"/>
      <c r="D940" s="40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38"/>
      <c r="B941" s="39"/>
      <c r="C941" s="39"/>
      <c r="D941" s="40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38"/>
      <c r="B942" s="39"/>
      <c r="C942" s="39"/>
      <c r="D942" s="40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38"/>
      <c r="B943" s="39"/>
      <c r="C943" s="39"/>
      <c r="D943" s="40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38"/>
      <c r="B944" s="39"/>
      <c r="C944" s="39"/>
      <c r="D944" s="40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38"/>
      <c r="B945" s="39"/>
      <c r="C945" s="39"/>
      <c r="D945" s="40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38"/>
      <c r="B946" s="39"/>
      <c r="C946" s="39"/>
      <c r="D946" s="40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38"/>
      <c r="B947" s="39"/>
      <c r="C947" s="39"/>
      <c r="D947" s="40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38"/>
      <c r="B948" s="39"/>
      <c r="C948" s="39"/>
      <c r="D948" s="40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38"/>
      <c r="B949" s="39"/>
      <c r="C949" s="39"/>
      <c r="D949" s="40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38"/>
      <c r="B950" s="39"/>
      <c r="C950" s="39"/>
      <c r="D950" s="40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38"/>
      <c r="B951" s="39"/>
      <c r="C951" s="39"/>
      <c r="D951" s="40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38"/>
      <c r="B952" s="39"/>
      <c r="C952" s="39"/>
      <c r="D952" s="40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38"/>
      <c r="B953" s="39"/>
      <c r="C953" s="39"/>
      <c r="D953" s="40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38"/>
      <c r="B954" s="39"/>
      <c r="C954" s="39"/>
      <c r="D954" s="40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38"/>
      <c r="B955" s="39"/>
      <c r="C955" s="39"/>
      <c r="D955" s="40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38"/>
      <c r="B956" s="39"/>
      <c r="C956" s="39"/>
      <c r="D956" s="40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38"/>
      <c r="B957" s="39"/>
      <c r="C957" s="39"/>
      <c r="D957" s="40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38"/>
      <c r="B958" s="39"/>
      <c r="C958" s="39"/>
      <c r="D958" s="40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38"/>
      <c r="B959" s="39"/>
      <c r="C959" s="39"/>
      <c r="D959" s="40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38"/>
      <c r="B960" s="39"/>
      <c r="C960" s="39"/>
      <c r="D960" s="40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38"/>
      <c r="B961" s="39"/>
      <c r="C961" s="39"/>
      <c r="D961" s="40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38"/>
      <c r="B962" s="39"/>
      <c r="C962" s="39"/>
      <c r="D962" s="40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38"/>
      <c r="B963" s="39"/>
      <c r="C963" s="39"/>
      <c r="D963" s="40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38"/>
      <c r="B964" s="39"/>
      <c r="C964" s="39"/>
      <c r="D964" s="40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38"/>
      <c r="B965" s="39"/>
      <c r="C965" s="39"/>
      <c r="D965" s="40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38"/>
      <c r="B966" s="39"/>
      <c r="C966" s="39"/>
      <c r="D966" s="40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38"/>
      <c r="B967" s="39"/>
      <c r="C967" s="39"/>
      <c r="D967" s="40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38"/>
      <c r="B968" s="39"/>
      <c r="C968" s="39"/>
      <c r="D968" s="40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38"/>
      <c r="B969" s="39"/>
      <c r="C969" s="39"/>
      <c r="D969" s="40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38"/>
      <c r="B970" s="39"/>
      <c r="C970" s="39"/>
      <c r="D970" s="40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38"/>
      <c r="B971" s="39"/>
      <c r="C971" s="39"/>
      <c r="D971" s="40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38"/>
      <c r="B972" s="39"/>
      <c r="C972" s="39"/>
      <c r="D972" s="40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38"/>
      <c r="B973" s="39"/>
      <c r="C973" s="39"/>
      <c r="D973" s="40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38"/>
      <c r="B974" s="39"/>
      <c r="C974" s="39"/>
      <c r="D974" s="40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38"/>
      <c r="B975" s="39"/>
      <c r="C975" s="39"/>
      <c r="D975" s="40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38"/>
      <c r="B976" s="39"/>
      <c r="C976" s="39"/>
      <c r="D976" s="40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38"/>
      <c r="B977" s="39"/>
      <c r="C977" s="39"/>
      <c r="D977" s="40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38"/>
      <c r="B978" s="39"/>
      <c r="C978" s="39"/>
      <c r="D978" s="40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38"/>
      <c r="B979" s="39"/>
      <c r="C979" s="39"/>
      <c r="D979" s="40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38"/>
      <c r="B980" s="39"/>
      <c r="C980" s="39"/>
      <c r="D980" s="40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38"/>
      <c r="B981" s="39"/>
      <c r="C981" s="39"/>
      <c r="D981" s="40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38"/>
      <c r="B982" s="39"/>
      <c r="C982" s="39"/>
      <c r="D982" s="40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38"/>
      <c r="B983" s="39"/>
      <c r="C983" s="39"/>
      <c r="D983" s="40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38"/>
      <c r="B984" s="39"/>
      <c r="C984" s="39"/>
      <c r="D984" s="40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38"/>
      <c r="B985" s="39"/>
      <c r="C985" s="39"/>
      <c r="D985" s="40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38"/>
      <c r="B986" s="39"/>
      <c r="C986" s="39"/>
      <c r="D986" s="40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38"/>
      <c r="B987" s="39"/>
      <c r="C987" s="39"/>
      <c r="D987" s="40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</sheetData>
  <autoFilter ref="$A$1:$D$2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3.86"/>
    <col customWidth="1" min="2" max="2" width="13.29"/>
    <col customWidth="1" min="3" max="3" width="12.14"/>
    <col customWidth="1" min="4" max="4" width="66.0"/>
    <col hidden="1" min="5" max="5" width="17.29"/>
  </cols>
  <sheetData>
    <row r="1" ht="21.0" customHeight="1">
      <c r="A1" s="48" t="s">
        <v>118</v>
      </c>
      <c r="B1" s="49" t="s">
        <v>119</v>
      </c>
      <c r="C1" s="49" t="s">
        <v>120</v>
      </c>
      <c r="D1" s="50" t="s">
        <v>121</v>
      </c>
      <c r="E1" s="50" t="s">
        <v>122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ht="21.0" customHeight="1">
      <c r="A2" s="52" t="str">
        <f>HYPERLINK("https://www.humblebundle.com/store/observer?partner=seriouslyclara","&gt;observer_")</f>
        <v>&gt;observer_</v>
      </c>
      <c r="B2" s="53">
        <v>2017.0</v>
      </c>
      <c r="C2" s="53" t="s">
        <v>123</v>
      </c>
      <c r="D2" s="54" t="s">
        <v>124</v>
      </c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ht="21.0" customHeight="1">
      <c r="A3" s="52" t="str">
        <f>HYPERLINK("https://store.steampowered.com/app/913850/103/","103")</f>
        <v>103</v>
      </c>
      <c r="B3" s="53">
        <v>2018.0</v>
      </c>
      <c r="C3" s="53" t="s">
        <v>123</v>
      </c>
      <c r="D3" s="54" t="s">
        <v>125</v>
      </c>
      <c r="E3" s="55" t="s">
        <v>126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 ht="21.0" customHeight="1">
      <c r="A4" s="52" t="str">
        <f>HYPERLINK("https://www.humblebundle.com/store/12-is-better-than-6?partner=seriouslyclara","12 is Better Than 6")</f>
        <v>12 is Better Than 6</v>
      </c>
      <c r="B4" s="53">
        <v>2015.0</v>
      </c>
      <c r="C4" s="53" t="s">
        <v>123</v>
      </c>
      <c r="D4" s="54" t="s">
        <v>127</v>
      </c>
      <c r="E4" s="55" t="s">
        <v>126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ht="21.0" customHeight="1">
      <c r="A5" s="52" t="str">
        <f>HYPERLINK("https://www.humblebundle.com/store/1979-revolution-black-friday?partner=seriouslyclara","1979 Revolution: Black Friday")</f>
        <v>1979 Revolution: Black Friday</v>
      </c>
      <c r="B5" s="53">
        <v>2016.0</v>
      </c>
      <c r="C5" s="53" t="s">
        <v>123</v>
      </c>
      <c r="D5" s="54" t="s">
        <v>128</v>
      </c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ht="21.0" customHeight="1">
      <c r="A6" s="52" t="str">
        <f>HYPERLINK("https://www.humblebundle.com/store/a-bird-story?partner=seriouslyclara","A Bird Story")</f>
        <v>A Bird Story</v>
      </c>
      <c r="B6" s="53">
        <v>2014.0</v>
      </c>
      <c r="C6" s="53" t="s">
        <v>123</v>
      </c>
      <c r="D6" s="57"/>
      <c r="E6" s="55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ht="21.0" customHeight="1">
      <c r="A7" s="52" t="str">
        <f>HYPERLINK("https://store.steampowered.com/app/717610/A_Case_of_Distrust/","A Case of Distrust")</f>
        <v>A Case of Distrust</v>
      </c>
      <c r="B7" s="53">
        <v>2018.0</v>
      </c>
      <c r="C7" s="53" t="s">
        <v>123</v>
      </c>
      <c r="D7" s="54" t="s">
        <v>129</v>
      </c>
      <c r="E7" s="55" t="s">
        <v>126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ht="21.0" customHeight="1">
      <c r="A8" s="52" t="str">
        <f>HYPERLINK("https://www.humblebundle.com/store/a-hat-in-time?partner=seriouslyclara","A Hat in Time")</f>
        <v>A Hat in Time</v>
      </c>
      <c r="B8" s="53">
        <v>2017.0</v>
      </c>
      <c r="C8" s="53" t="s">
        <v>123</v>
      </c>
      <c r="D8" s="54" t="s">
        <v>130</v>
      </c>
      <c r="E8" s="55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ht="21.0" customHeight="1">
      <c r="A9" s="52" t="str">
        <f>HYPERLINK("https://www.humblebundle.com/store/a-story-about-my-uncle?partner=seriouslyclara","A Story About My Uncle")</f>
        <v>A Story About My Uncle</v>
      </c>
      <c r="B9" s="53">
        <v>2014.0</v>
      </c>
      <c r="C9" s="53" t="s">
        <v>123</v>
      </c>
      <c r="D9" s="57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ht="21.0" customHeight="1">
      <c r="A10" s="52" t="str">
        <f>HYPERLINK("https://store.steampowered.com/app/248730/A_Walk_in_the_Dark/","A Walk in the Dark")</f>
        <v>A Walk in the Dark</v>
      </c>
      <c r="B10" s="53">
        <v>2013.0</v>
      </c>
      <c r="C10" s="53" t="s">
        <v>123</v>
      </c>
      <c r="D10" s="57"/>
      <c r="E10" s="55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ht="21.0" customHeight="1">
      <c r="A11" s="52" t="str">
        <f>HYPERLINK("https://www.origin.com/can/en-us/store/a-way-out/a-way-out","A Way Out")</f>
        <v>A Way Out</v>
      </c>
      <c r="B11" s="53">
        <v>2018.0</v>
      </c>
      <c r="C11" s="53" t="s">
        <v>123</v>
      </c>
      <c r="D11" s="57"/>
      <c r="E11" s="55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ht="21.0" customHeight="1">
      <c r="A12" s="52" t="str">
        <f>HYPERLINK("https://www.humblebundle.com/store/abzu?partner=seriouslyclara","ABZÛ")</f>
        <v>ABZÛ</v>
      </c>
      <c r="B12" s="53">
        <v>2016.0</v>
      </c>
      <c r="C12" s="53" t="s">
        <v>123</v>
      </c>
      <c r="D12" s="54" t="s">
        <v>131</v>
      </c>
      <c r="E12" s="5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ht="21.0" customHeight="1">
      <c r="A13" s="52" t="str">
        <f>HYPERLINK("https://www.humblebundle.com/store/aegis-defenders?partner=seriouslyclara","Aegis Defenders")</f>
        <v>Aegis Defenders</v>
      </c>
      <c r="B13" s="53">
        <v>2018.0</v>
      </c>
      <c r="C13" s="53" t="s">
        <v>123</v>
      </c>
      <c r="D13" s="54" t="s">
        <v>132</v>
      </c>
      <c r="E13" s="55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ht="21.0" customHeight="1">
      <c r="A14" s="52" t="str">
        <f>HYPERLINK("https://www.humblebundle.com/store/aer-memories-of-old?partner=seriouslyclara","AER Memories of Old")</f>
        <v>AER Memories of Old</v>
      </c>
      <c r="B14" s="53">
        <v>2017.0</v>
      </c>
      <c r="C14" s="53" t="s">
        <v>123</v>
      </c>
      <c r="D14" s="54" t="s">
        <v>133</v>
      </c>
      <c r="E14" s="55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ht="21.0" customHeight="1">
      <c r="A15" s="52" t="str">
        <f>HYPERLINK("https://agar.io/","agar.io")</f>
        <v>agar.io</v>
      </c>
      <c r="B15" s="53">
        <v>2015.0</v>
      </c>
      <c r="C15" s="53" t="s">
        <v>123</v>
      </c>
      <c r="D15" s="57"/>
      <c r="E15" s="55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ht="21.0" customHeight="1">
      <c r="A16" s="52" t="str">
        <f>HYPERLINK("https://www.humblebundle.com/store/albert-and-otto-the-adventure-begins?partner=seriouslyclara","Albert and Otto: The Adventure Begins")</f>
        <v>Albert and Otto: The Adventure Begins</v>
      </c>
      <c r="B16" s="53">
        <v>2015.0</v>
      </c>
      <c r="C16" s="53" t="s">
        <v>123</v>
      </c>
      <c r="D16" s="57"/>
      <c r="E16" s="55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ht="21.0" customHeight="1">
      <c r="A17" s="52" t="str">
        <f>HYPERLINK("https://www.humblebundle.com/store/alien-isolation?partner=seriouslyclara","Alien: Isolation")</f>
        <v>Alien: Isolation</v>
      </c>
      <c r="B17" s="53">
        <v>2014.0</v>
      </c>
      <c r="C17" s="53" t="s">
        <v>123</v>
      </c>
      <c r="D17" s="57"/>
      <c r="E17" s="55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ht="21.0" customHeight="1">
      <c r="A18" s="52" t="str">
        <f>HYPERLINK("https://store.steampowered.com/app/564940/Alone_With_You/","Alone With You")</f>
        <v>Alone With You</v>
      </c>
      <c r="B18" s="53">
        <v>2017.0</v>
      </c>
      <c r="C18" s="53" t="s">
        <v>123</v>
      </c>
      <c r="D18" s="54" t="s">
        <v>134</v>
      </c>
      <c r="E18" s="55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ht="21.0" customHeight="1">
      <c r="A19" s="52" t="str">
        <f>HYPERLINK("https://store.steampowered.com/app/549260/Alwas_Awakening/","Alwa's Awakening")</f>
        <v>Alwa's Awakening</v>
      </c>
      <c r="B19" s="53">
        <v>2017.0</v>
      </c>
      <c r="C19" s="53" t="s">
        <v>123</v>
      </c>
      <c r="D19" s="54" t="s">
        <v>135</v>
      </c>
      <c r="E19" s="55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21.0" customHeight="1">
      <c r="A20" s="52" t="str">
        <f>HYPERLINK("https://www.humblebundle.com/store/amnesia-the-dark-descent?partner=seriouslyclara","Amnesia: The Dark Descent")</f>
        <v>Amnesia: The Dark Descent</v>
      </c>
      <c r="B20" s="53">
        <v>2010.0</v>
      </c>
      <c r="C20" s="53" t="s">
        <v>123</v>
      </c>
      <c r="D20" s="57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21.0" customHeight="1">
      <c r="A21" s="52" t="str">
        <f>HYPERLINK("https://www.humblebundle.com/store/amphora?partner=seriouslyclara","Amphora")</f>
        <v>Amphora</v>
      </c>
      <c r="B21" s="53">
        <v>2014.0</v>
      </c>
      <c r="C21" s="53" t="s">
        <v>123</v>
      </c>
      <c r="D21" s="54" t="s">
        <v>136</v>
      </c>
      <c r="E21" s="55" t="s">
        <v>126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ht="21.0" customHeight="1">
      <c r="A22" s="52" t="str">
        <f>HYPERLINK("https://www.humblebundle.com/store/anarcute?partner=seriouslyclara","Anarcute")</f>
        <v>Anarcute</v>
      </c>
      <c r="B22" s="53">
        <v>2016.0</v>
      </c>
      <c r="C22" s="53" t="s">
        <v>123</v>
      </c>
      <c r="D22" s="54" t="s">
        <v>137</v>
      </c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ht="21.0" customHeight="1">
      <c r="A23" s="52" t="str">
        <f>HYPERLINK("https://store.steampowered.com/app/380750/Anima_Gate_of_Memories/","Anima Gate of Memories")</f>
        <v>Anima Gate of Memories</v>
      </c>
      <c r="B23" s="53">
        <v>2016.0</v>
      </c>
      <c r="C23" s="53" t="s">
        <v>123</v>
      </c>
      <c r="D23" s="57"/>
      <c r="E23" s="55" t="s">
        <v>126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ht="21.0" customHeight="1">
      <c r="A24" s="52" t="str">
        <f>HYPERLINK("https://www.humblebundle.com/store/anodyne?partner=seriouslyclara","Anodyne")</f>
        <v>Anodyne</v>
      </c>
      <c r="B24" s="53">
        <v>2013.0</v>
      </c>
      <c r="C24" s="53" t="s">
        <v>123</v>
      </c>
      <c r="D24" s="54" t="s">
        <v>138</v>
      </c>
      <c r="E24" s="55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21.0" customHeight="1">
      <c r="A25" s="52" t="str">
        <f>HYPERLINK("https://www.humblebundle.com/store/antichamber?partner=seriouslyclara","Antichamber")</f>
        <v>Antichamber</v>
      </c>
      <c r="B25" s="53">
        <v>2013.0</v>
      </c>
      <c r="C25" s="53" t="s">
        <v>123</v>
      </c>
      <c r="D25" s="57"/>
      <c r="E25" s="55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21.0" customHeight="1">
      <c r="A26" s="52" t="str">
        <f>HYPERLINK("https://www.humblebundle.com/store/antihero?partner=seriouslyclara","Antihero")</f>
        <v>Antihero</v>
      </c>
      <c r="B26" s="53">
        <v>2017.0</v>
      </c>
      <c r="C26" s="53" t="s">
        <v>123</v>
      </c>
      <c r="D26" s="54" t="s">
        <v>139</v>
      </c>
      <c r="E26" s="55" t="s">
        <v>126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ht="21.0" customHeight="1">
      <c r="A27" s="52" t="str">
        <f>HYPERLINK("https://www.humblebundle.com/store/apocalipsis?partner=seriouslyclara","Apocalipsis")</f>
        <v>Apocalipsis</v>
      </c>
      <c r="B27" s="53">
        <v>2018.0</v>
      </c>
      <c r="C27" s="53" t="s">
        <v>123</v>
      </c>
      <c r="D27" s="54" t="s">
        <v>140</v>
      </c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21.0" customHeight="1">
      <c r="A28" s="52" t="str">
        <f>HYPERLINK("https://www.humblebundle.com/store/aragami?partner=seriouslyclara","Aragami")</f>
        <v>Aragami</v>
      </c>
      <c r="B28" s="53">
        <v>2016.0</v>
      </c>
      <c r="C28" s="53" t="s">
        <v>123</v>
      </c>
      <c r="D28" s="54" t="s">
        <v>141</v>
      </c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0" customHeight="1">
      <c r="A29" s="52" t="str">
        <f>HYPERLINK("https://store.steampowered.com/app/304030/ArcheAge/","ArcheAge")</f>
        <v>ArcheAge</v>
      </c>
      <c r="B29" s="53">
        <v>2015.0</v>
      </c>
      <c r="C29" s="53" t="s">
        <v>123</v>
      </c>
      <c r="D29" s="57"/>
      <c r="E29" s="55" t="s">
        <v>126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21.0" customHeight="1">
      <c r="A30" s="52" t="str">
        <f>HYPERLINK("https://www.humblebundle.com/store/ark-survival-evolved?partner=seriouslyclara","ARK: Survival Evolved")</f>
        <v>ARK: Survival Evolved</v>
      </c>
      <c r="B30" s="53">
        <v>2017.0</v>
      </c>
      <c r="C30" s="53" t="s">
        <v>123</v>
      </c>
      <c r="D30" s="57"/>
      <c r="E30" s="55" t="s">
        <v>126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21.0" customHeight="1">
      <c r="A31" s="52" t="str">
        <f>HYPERLINK("https://www.nintendo.com/games/detail/s6gxA7nRWkQ7KIFfRkgeiPgshove-iUZ","Armillo")</f>
        <v>Armillo</v>
      </c>
      <c r="B31" s="53">
        <v>2014.0</v>
      </c>
      <c r="C31" s="53" t="s">
        <v>142</v>
      </c>
      <c r="D31" s="57"/>
      <c r="E31" s="57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21.0" customHeight="1">
      <c r="A32" s="52" t="str">
        <f>HYPERLINK("https://www.humblebundle.com/store/assault-android-cactus?partner=seriouslyclara","Assault Android Cactus")</f>
        <v>Assault Android Cactus</v>
      </c>
      <c r="B32" s="53">
        <v>2015.0</v>
      </c>
      <c r="C32" s="53" t="s">
        <v>123</v>
      </c>
      <c r="D32" s="54" t="s">
        <v>143</v>
      </c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ht="21.0" customHeight="1">
      <c r="A33" s="52" t="str">
        <f>HYPERLINK("https://www.humblebundle.com/store/away-journey-to-the-unexpected?partner=seriouslyclara","AWAY: Journey to the Unexpected")</f>
        <v>AWAY: Journey to the Unexpected</v>
      </c>
      <c r="B33" s="53">
        <v>2019.0</v>
      </c>
      <c r="C33" s="53" t="s">
        <v>123</v>
      </c>
      <c r="D33" s="54" t="s">
        <v>144</v>
      </c>
      <c r="E33" s="55" t="s">
        <v>126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ht="21.0" customHeight="1">
      <c r="A34" s="52" t="str">
        <f>HYPERLINK("https://www.humblebundle.com/store/axiom-verge?partner=seriouslyclara","Axiom Verge")</f>
        <v>Axiom Verge</v>
      </c>
      <c r="B34" s="53">
        <v>2015.0</v>
      </c>
      <c r="C34" s="53" t="s">
        <v>123</v>
      </c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21.0" customHeight="1">
      <c r="A35" s="52" t="str">
        <f>HYPERLINK("https://www.humblebundle.com/store/bad-north?partner=seriouslyclara","Bad North")</f>
        <v>Bad North</v>
      </c>
      <c r="B35" s="53">
        <v>2018.0</v>
      </c>
      <c r="C35" s="53" t="s">
        <v>123</v>
      </c>
      <c r="D35" s="54" t="s">
        <v>145</v>
      </c>
      <c r="E35" s="55" t="s">
        <v>126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ht="21.0" customHeight="1">
      <c r="A36" s="55" t="s">
        <v>146</v>
      </c>
      <c r="B36" s="53"/>
      <c r="C36" s="53" t="s">
        <v>123</v>
      </c>
      <c r="D36" s="57"/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21.0" customHeight="1">
      <c r="A37" s="55" t="s">
        <v>147</v>
      </c>
      <c r="B37" s="53"/>
      <c r="C37" s="53" t="s">
        <v>148</v>
      </c>
      <c r="D37" s="57"/>
      <c r="E37" s="55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ht="21.0" customHeight="1">
      <c r="A38" s="52" t="str">
        <f>HYPERLINK("https://www.humblebundle.com/store/bastion?partner=seriouslyclara","Bastion")</f>
        <v>Bastion</v>
      </c>
      <c r="B38" s="53">
        <v>2011.0</v>
      </c>
      <c r="C38" s="53" t="s">
        <v>123</v>
      </c>
      <c r="D38" s="57"/>
      <c r="E38" s="55" t="s">
        <v>126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ht="21.0" customHeight="1">
      <c r="A39" s="52" t="str">
        <f>HYPERLINK("https://www.humblebundle.com/store/battle-chasers-nightwar?partner=seriouslyclara","Battle Chasers: Nightwar")</f>
        <v>Battle Chasers: Nightwar</v>
      </c>
      <c r="B39" s="53">
        <v>2017.0</v>
      </c>
      <c r="C39" s="53" t="s">
        <v>123</v>
      </c>
      <c r="D39" s="54" t="s">
        <v>149</v>
      </c>
      <c r="E39" s="55" t="s">
        <v>126</v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ht="21.0" customHeight="1">
      <c r="A40" s="52" t="str">
        <f>HYPERLINK("https://www.humblebundle.com/store/battle-chef-brigade?partner=seriouslyclara","Battle Chef Brigade")</f>
        <v>Battle Chef Brigade</v>
      </c>
      <c r="B40" s="53">
        <v>2017.0</v>
      </c>
      <c r="C40" s="53" t="s">
        <v>123</v>
      </c>
      <c r="D40" s="54" t="s">
        <v>150</v>
      </c>
      <c r="E40" s="55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ht="21.0" customHeight="1">
      <c r="A41" s="55" t="s">
        <v>151</v>
      </c>
      <c r="B41" s="53"/>
      <c r="C41" s="53" t="s">
        <v>142</v>
      </c>
      <c r="D41" s="57"/>
      <c r="E41" s="55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ht="21.0" customHeight="1">
      <c r="A42" s="55" t="s">
        <v>152</v>
      </c>
      <c r="B42" s="53"/>
      <c r="C42" s="53" t="s">
        <v>153</v>
      </c>
      <c r="D42" s="57"/>
      <c r="E42" s="55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ht="21.0" customHeight="1">
      <c r="A43" s="52" t="str">
        <f>HYPERLINK("https://www.humblebundle.com/store/beholder?partner=seriouslyclara","Beholder")</f>
        <v>Beholder</v>
      </c>
      <c r="B43" s="53">
        <v>2016.0</v>
      </c>
      <c r="C43" s="53" t="s">
        <v>123</v>
      </c>
      <c r="D43" s="57"/>
      <c r="E43" s="55" t="s">
        <v>126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ht="21.0" customHeight="1">
      <c r="A44" s="52" t="str">
        <f>HYPERLINK("https://store.steampowered.com/app/250680/BELOW/","BELOW")</f>
        <v>BELOW</v>
      </c>
      <c r="B44" s="53">
        <v>2018.0</v>
      </c>
      <c r="C44" s="53" t="s">
        <v>123</v>
      </c>
      <c r="D44" s="54" t="s">
        <v>154</v>
      </c>
      <c r="E44" s="55" t="s">
        <v>126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ht="21.0" customHeight="1">
      <c r="A45" s="52" t="str">
        <f>HYPERLINK("https://www.humblebundle.com/store/beyond-eyes?partner=seriouslyclara","Beyond Eyes")</f>
        <v>Beyond Eyes</v>
      </c>
      <c r="B45" s="53">
        <v>2015.0</v>
      </c>
      <c r="C45" s="53" t="s">
        <v>123</v>
      </c>
      <c r="D45" s="54" t="s">
        <v>155</v>
      </c>
      <c r="E45" s="55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ht="21.0" customHeight="1">
      <c r="A46" s="55" t="s">
        <v>156</v>
      </c>
      <c r="B46" s="53"/>
      <c r="C46" s="53" t="s">
        <v>123</v>
      </c>
      <c r="D46" s="57"/>
      <c r="E46" s="55" t="s">
        <v>126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ht="21.0" customHeight="1">
      <c r="A47" s="55" t="s">
        <v>157</v>
      </c>
      <c r="B47" s="53"/>
      <c r="C47" s="53" t="s">
        <v>123</v>
      </c>
      <c r="D47" s="57"/>
      <c r="E47" s="55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ht="21.0" customHeight="1">
      <c r="A48" s="55" t="s">
        <v>158</v>
      </c>
      <c r="B48" s="53"/>
      <c r="C48" s="53" t="s">
        <v>123</v>
      </c>
      <c r="D48" s="57"/>
      <c r="E48" s="55" t="s">
        <v>126</v>
      </c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ht="21.0" customHeight="1">
      <c r="A49" s="55" t="s">
        <v>159</v>
      </c>
      <c r="B49" s="53"/>
      <c r="C49" s="53" t="s">
        <v>123</v>
      </c>
      <c r="D49" s="57"/>
      <c r="E49" s="5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ht="21.0" customHeight="1">
      <c r="A50" s="52" t="str">
        <f>HYPERLINK("https://www.humblebundle.com/store/bleed-2?partner=seriouslyclara","Bleed 2")</f>
        <v>Bleed 2</v>
      </c>
      <c r="B50" s="53">
        <v>2017.0</v>
      </c>
      <c r="C50" s="53" t="s">
        <v>123</v>
      </c>
      <c r="D50" s="54" t="s">
        <v>160</v>
      </c>
      <c r="E50" s="57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ht="21.0" customHeight="1">
      <c r="A51" s="52" t="str">
        <f>HYPERLINK("https://www.humblebundle.com/store/blossom-tales-the-sleeping-king?partner=seriouslyclara","Blossom Tales: The Sleeping King")</f>
        <v>Blossom Tales: The Sleeping King</v>
      </c>
      <c r="B51" s="53">
        <v>2017.0</v>
      </c>
      <c r="C51" s="53" t="s">
        <v>123</v>
      </c>
      <c r="D51" s="54" t="s">
        <v>161</v>
      </c>
      <c r="E51" s="55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ht="21.0" customHeight="1">
      <c r="A52" s="52" t="str">
        <f>HYPERLINK("https://www.humblebundle.com/store/book-of-demons?partner=seriouslyclara","Book of Demons")</f>
        <v>Book of Demons</v>
      </c>
      <c r="B52" s="53">
        <v>2018.0</v>
      </c>
      <c r="C52" s="53" t="s">
        <v>123</v>
      </c>
      <c r="D52" s="54" t="s">
        <v>162</v>
      </c>
      <c r="E52" s="55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 ht="21.0" customHeight="1">
      <c r="A53" s="52" t="str">
        <f>HYPERLINK("https://www.humblebundle.com/store/borderlands-2?partner=seriouslyclara","Borderlands 2")</f>
        <v>Borderlands 2</v>
      </c>
      <c r="B53" s="53">
        <v>2012.0</v>
      </c>
      <c r="C53" s="53" t="s">
        <v>123</v>
      </c>
      <c r="D53" s="57"/>
      <c r="E53" s="55" t="s">
        <v>126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 ht="21.0" customHeight="1">
      <c r="A54" s="52" t="str">
        <f>HYPERLINK("https://www.humblebundle.com/store/borderlands-the-presequel?partner=seriouslyclara","Borderlands: The Pre-Sequel")</f>
        <v>Borderlands: The Pre-Sequel</v>
      </c>
      <c r="B54" s="53">
        <v>2014.0</v>
      </c>
      <c r="C54" s="53" t="s">
        <v>123</v>
      </c>
      <c r="D54" s="57"/>
      <c r="E54" s="55" t="s">
        <v>126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 ht="21.0" customHeight="1">
      <c r="A55" s="52" t="str">
        <f>HYPERLINK("https://www.humblebundle.com/store/botanicula-collectors-edition?partner=seriouslyclara","Botanicula")</f>
        <v>Botanicula</v>
      </c>
      <c r="B55" s="53">
        <v>2012.0</v>
      </c>
      <c r="C55" s="53" t="s">
        <v>123</v>
      </c>
      <c r="D55" s="57"/>
      <c r="E55" s="55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ht="21.0" customHeight="1">
      <c r="A56" s="52" t="str">
        <f>HYPERLINK("https://www.humblebundle.com/store/boundless?partner=seriouslyclara","Boundless")</f>
        <v>Boundless</v>
      </c>
      <c r="B56" s="53">
        <v>2018.0</v>
      </c>
      <c r="C56" s="53" t="s">
        <v>123</v>
      </c>
      <c r="D56" s="54" t="s">
        <v>163</v>
      </c>
      <c r="E56" s="55" t="s">
        <v>126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ht="21.0" customHeight="1">
      <c r="A57" s="52" t="str">
        <f>HYPERLINK("https://www.humblebundle.com/store/braid?partner=seriouslyclara","Braid")</f>
        <v>Braid</v>
      </c>
      <c r="B57" s="53">
        <v>2009.0</v>
      </c>
      <c r="C57" s="53" t="s">
        <v>123</v>
      </c>
      <c r="D57" s="57"/>
      <c r="E57" s="55" t="s">
        <v>126</v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ht="21.0" customHeight="1">
      <c r="A58" s="52" t="str">
        <f>HYPERLINK("https://www.humblebundle.com/store/broforce?partner=seriouslyclara","Broforce")</f>
        <v>Broforce</v>
      </c>
      <c r="B58" s="53">
        <v>2015.0</v>
      </c>
      <c r="C58" s="53" t="s">
        <v>123</v>
      </c>
      <c r="D58" s="57"/>
      <c r="E58" s="55" t="s">
        <v>126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ht="21.0" customHeight="1">
      <c r="A59" s="52" t="str">
        <f>HYPERLINK("https://www.humblebundle.com/store/broken-age?partner=seriouslyclara","Broken Age")</f>
        <v>Broken Age</v>
      </c>
      <c r="B59" s="53">
        <v>2014.0</v>
      </c>
      <c r="C59" s="53" t="s">
        <v>123</v>
      </c>
      <c r="D59" s="54" t="s">
        <v>164</v>
      </c>
      <c r="E59" s="55" t="s">
        <v>126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 ht="21.0" customHeight="1">
      <c r="A60" s="52" t="str">
        <f>HYPERLINK("https://www.humblebundle.com/store/brothers-a-tale-of-two-sons?partner=seriouslyclara","Brothers - A Tale of Two Sons")</f>
        <v>Brothers - A Tale of Two Sons</v>
      </c>
      <c r="B60" s="53">
        <v>2013.0</v>
      </c>
      <c r="C60" s="53" t="s">
        <v>123</v>
      </c>
      <c r="D60" s="57"/>
      <c r="E60" s="55" t="s">
        <v>126</v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 ht="21.0" customHeight="1">
      <c r="A61" s="52" t="str">
        <f>HYPERLINK("https://www.humblebundle.com/store/brutal-legend?partner=seriouslyclara","Brütal Legend")</f>
        <v>Brütal Legend</v>
      </c>
      <c r="B61" s="53">
        <v>2013.0</v>
      </c>
      <c r="C61" s="53" t="s">
        <v>123</v>
      </c>
      <c r="D61" s="54" t="s">
        <v>165</v>
      </c>
      <c r="E61" s="55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 ht="21.0" customHeight="1">
      <c r="A62" s="52" t="str">
        <f>HYPERLINK("https://www.humblebundle.com/store/bulb-boy?partner=seriouslyclara","Bulb Boy")</f>
        <v>Bulb Boy</v>
      </c>
      <c r="B62" s="53">
        <v>2015.0</v>
      </c>
      <c r="C62" s="53" t="s">
        <v>123</v>
      </c>
      <c r="D62" s="54" t="s">
        <v>166</v>
      </c>
      <c r="E62" s="55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 ht="21.0" customHeight="1">
      <c r="A63" s="52" t="str">
        <f>HYPERLINK("https://www.humblebundle.com/store/burly-men-at-sea?partner=seriouslyclara","Burly Men at Sea")</f>
        <v>Burly Men at Sea</v>
      </c>
      <c r="B63" s="53">
        <v>2016.0</v>
      </c>
      <c r="C63" s="53" t="s">
        <v>123</v>
      </c>
      <c r="D63" s="54" t="s">
        <v>167</v>
      </c>
      <c r="E63" s="55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 ht="21.0" customHeight="1">
      <c r="A64" s="52" t="str">
        <f>HYPERLINK("https://www.humblebundle.com/store/camp-sunshine?partner=seriouslyclara","Camp Sunshine")</f>
        <v>Camp Sunshine</v>
      </c>
      <c r="B64" s="53">
        <v>2016.0</v>
      </c>
      <c r="C64" s="53" t="s">
        <v>123</v>
      </c>
      <c r="D64" s="54" t="s">
        <v>168</v>
      </c>
      <c r="E64" s="55" t="s">
        <v>126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 ht="21.0" customHeight="1">
      <c r="A65" s="52" t="str">
        <f>HYPERLINK("https://www.humblebundle.com/store/candle?partner=seriouslyclara","Candle")</f>
        <v>Candle</v>
      </c>
      <c r="B65" s="53">
        <v>2016.0</v>
      </c>
      <c r="C65" s="53" t="s">
        <v>123</v>
      </c>
      <c r="D65" s="54" t="s">
        <v>169</v>
      </c>
      <c r="E65" s="55" t="s">
        <v>126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 ht="21.0" customHeight="1">
      <c r="A66" s="55" t="s">
        <v>88</v>
      </c>
      <c r="B66" s="53"/>
      <c r="C66" s="53" t="s">
        <v>123</v>
      </c>
      <c r="D66" s="57"/>
      <c r="E66" s="55" t="s">
        <v>126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 ht="21.0" customHeight="1">
      <c r="A67" s="52" t="str">
        <f>HYPERLINK("https://store.steampowered.com/app/204360/Castle_Crashers/","Castle Crashers")</f>
        <v>Castle Crashers</v>
      </c>
      <c r="B67" s="53">
        <v>2012.0</v>
      </c>
      <c r="C67" s="53" t="s">
        <v>123</v>
      </c>
      <c r="D67" s="57"/>
      <c r="E67" s="57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</row>
    <row r="68" ht="21.0" customHeight="1">
      <c r="A68" s="55" t="s">
        <v>170</v>
      </c>
      <c r="B68" s="53"/>
      <c r="C68" s="53" t="s">
        <v>171</v>
      </c>
      <c r="D68" s="57"/>
      <c r="E68" s="55" t="s">
        <v>126</v>
      </c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 ht="21.0" customHeight="1">
      <c r="A69" s="52" t="str">
        <f>HYPERLINK("https://www.humblebundle.com/store/cat-quest?partner=seriouslyclara","Cat Quest")</f>
        <v>Cat Quest</v>
      </c>
      <c r="B69" s="53">
        <v>2017.0</v>
      </c>
      <c r="C69" s="53" t="s">
        <v>123</v>
      </c>
      <c r="D69" s="54" t="s">
        <v>172</v>
      </c>
      <c r="E69" s="55" t="s">
        <v>126</v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 ht="21.0" customHeight="1">
      <c r="A70" s="52" t="str">
        <f>HYPERLINK("https://www.humblebundle.com/store/cave-story?partner=seriouslyclara","Cave Story+")</f>
        <v>Cave Story+</v>
      </c>
      <c r="B70" s="53">
        <v>2011.0</v>
      </c>
      <c r="C70" s="53" t="s">
        <v>123</v>
      </c>
      <c r="D70" s="57"/>
      <c r="E70" s="55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 ht="21.0" customHeight="1">
      <c r="A71" s="52" t="str">
        <f>HYPERLINK("https://www.humblebundle.com/store/celeste?partner=seriouslyclara","Celeste")</f>
        <v>Celeste</v>
      </c>
      <c r="B71" s="53">
        <v>2018.0</v>
      </c>
      <c r="C71" s="53" t="s">
        <v>123</v>
      </c>
      <c r="D71" s="54" t="s">
        <v>173</v>
      </c>
      <c r="E71" s="55" t="s">
        <v>126</v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 ht="21.0" customHeight="1">
      <c r="A72" s="52" t="str">
        <f>HYPERLINK("https://www.humblebundle.com/store/chasm?partner=seriouslyclara","Chasm")</f>
        <v>Chasm</v>
      </c>
      <c r="B72" s="53">
        <v>2018.0</v>
      </c>
      <c r="C72" s="53" t="s">
        <v>123</v>
      </c>
      <c r="D72" s="54" t="s">
        <v>174</v>
      </c>
      <c r="E72" s="55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 ht="21.0" customHeight="1">
      <c r="A73" s="52" t="str">
        <f>HYPERLINK("https://www.humblebundle.com/store/child-of-light?partner=seriouslyclara","Child of Light")</f>
        <v>Child of Light</v>
      </c>
      <c r="B73" s="53">
        <v>2014.0</v>
      </c>
      <c r="C73" s="53" t="s">
        <v>123</v>
      </c>
      <c r="D73" s="57"/>
      <c r="E73" s="55" t="s">
        <v>126</v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</row>
    <row r="74" ht="21.0" customHeight="1">
      <c r="A74" s="52" t="str">
        <f>HYPERLINK("https://www.humblebundle.com/store/choice-chamber?partner=seriouslyclara","Choice Chamber")</f>
        <v>Choice Chamber</v>
      </c>
      <c r="B74" s="53">
        <v>2015.0</v>
      </c>
      <c r="C74" s="53" t="s">
        <v>123</v>
      </c>
      <c r="D74" s="57"/>
      <c r="E74" s="55" t="s">
        <v>126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 ht="21.0" customHeight="1">
      <c r="A75" s="55" t="s">
        <v>175</v>
      </c>
      <c r="B75" s="53"/>
      <c r="C75" s="53" t="s">
        <v>176</v>
      </c>
      <c r="D75" s="57"/>
      <c r="E75" s="55" t="s">
        <v>126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</row>
    <row r="76" ht="21.0" customHeight="1">
      <c r="A76" s="52" t="str">
        <f>HYPERLINK("https://www.humblebundle.com/store/chuchel?partner=seriouslyclara","CHUCHEL")</f>
        <v>CHUCHEL</v>
      </c>
      <c r="B76" s="53">
        <v>2018.0</v>
      </c>
      <c r="C76" s="53" t="s">
        <v>123</v>
      </c>
      <c r="D76" s="54" t="s">
        <v>177</v>
      </c>
      <c r="E76" s="55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</row>
    <row r="77" ht="21.0" customHeight="1">
      <c r="A77" s="52" t="str">
        <f>HYPERLINK("https://www.humblebundle.com/store/circle-empires?partner=seriouslyclara","Circle Empires")</f>
        <v>Circle Empires</v>
      </c>
      <c r="B77" s="53">
        <v>2018.0</v>
      </c>
      <c r="C77" s="53" t="s">
        <v>123</v>
      </c>
      <c r="D77" s="54" t="s">
        <v>178</v>
      </c>
      <c r="E77" s="55" t="s">
        <v>126</v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</row>
    <row r="78" ht="21.0" customHeight="1">
      <c r="A78" s="52" t="str">
        <f>HYPERLINK("https://www.humblebundle.com/store/cities-skylines?partner=seriouslyclara","Cities: Skylines")</f>
        <v>Cities: Skylines</v>
      </c>
      <c r="B78" s="53">
        <v>2015.0</v>
      </c>
      <c r="C78" s="53" t="s">
        <v>123</v>
      </c>
      <c r="D78" s="57"/>
      <c r="E78" s="57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 ht="21.0" customHeight="1">
      <c r="A79" s="52" t="str">
        <f>HYPERLINK("https://www.humblebundle.com/store/cloudbase-prime?partner=seriouslyclara","Cloudbase Prime")</f>
        <v>Cloudbase Prime</v>
      </c>
      <c r="B79" s="53"/>
      <c r="C79" s="53" t="s">
        <v>123</v>
      </c>
      <c r="D79" s="54" t="s">
        <v>179</v>
      </c>
      <c r="E79" s="55" t="s">
        <v>126</v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 ht="21.0" customHeight="1">
      <c r="A80" s="52" t="str">
        <f>HYPERLINK("https://www.humblebundle.com/store/clustertruck?partner=seriouslyclara","Clustertruck")</f>
        <v>Clustertruck</v>
      </c>
      <c r="B80" s="53">
        <v>2016.0</v>
      </c>
      <c r="C80" s="53" t="s">
        <v>123</v>
      </c>
      <c r="D80" s="54" t="s">
        <v>180</v>
      </c>
      <c r="E80" s="55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 ht="21.0" customHeight="1">
      <c r="A81" s="52" t="str">
        <f>HYPERLINK("https://www.humblebundle.com/store/contradiction?partner=seriouslyclara","Contradiction - Spot the Liar!")</f>
        <v>Contradiction - Spot the Liar!</v>
      </c>
      <c r="B81" s="53">
        <v>2015.0</v>
      </c>
      <c r="C81" s="53" t="s">
        <v>123</v>
      </c>
      <c r="D81" s="54" t="s">
        <v>181</v>
      </c>
      <c r="E81" s="55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 ht="21.0" customHeight="1">
      <c r="A82" s="52" t="str">
        <f>HYPERLINK("https://www.humblebundle.com/store/cook-serve-delicious?partner=seriouslyclara","Cook, Serve, Delicious!")</f>
        <v>Cook, Serve, Delicious!</v>
      </c>
      <c r="B82" s="53">
        <v>2013.0</v>
      </c>
      <c r="C82" s="53" t="s">
        <v>123</v>
      </c>
      <c r="D82" s="54" t="s">
        <v>182</v>
      </c>
      <c r="E82" s="55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 ht="21.0" customHeight="1">
      <c r="A83" s="52" t="str">
        <f>HYPERLINK("https://www.humblebundle.com/store/cook-serve-delicious-2?partner=seriouslyclara","Cook, Serve, Delicious! 2!!")</f>
        <v>Cook, Serve, Delicious! 2!!</v>
      </c>
      <c r="B83" s="53">
        <v>2017.0</v>
      </c>
      <c r="C83" s="53" t="s">
        <v>123</v>
      </c>
      <c r="D83" s="54" t="s">
        <v>183</v>
      </c>
      <c r="E83" s="55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 ht="21.0" customHeight="1">
      <c r="A84" s="52" t="str">
        <f>HYPERLINK("https://store.steampowered.com/app/514580/Cooking_Witch/","Cooking Witch")</f>
        <v>Cooking Witch</v>
      </c>
      <c r="B84" s="53">
        <v>2017.0</v>
      </c>
      <c r="C84" s="53" t="s">
        <v>123</v>
      </c>
      <c r="D84" s="55"/>
      <c r="E84" s="55" t="s">
        <v>126</v>
      </c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 ht="21.0" customHeight="1">
      <c r="A85" s="52" t="str">
        <f>HYPERLINK("https://www.humblebundle.com/store/cosmic-star-heroine?partner=seriouslyclara","Cosmic Star Heroine")</f>
        <v>Cosmic Star Heroine</v>
      </c>
      <c r="B85" s="53">
        <v>2017.0</v>
      </c>
      <c r="C85" s="53" t="s">
        <v>123</v>
      </c>
      <c r="D85" s="54" t="s">
        <v>184</v>
      </c>
      <c r="E85" s="55" t="s">
        <v>126</v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 ht="21.0" customHeight="1">
      <c r="A86" s="52" t="str">
        <f>HYPERLINK("https://www.humblebundle.com/store/crashlands?partner=seriouslyclara","Crashlands")</f>
        <v>Crashlands</v>
      </c>
      <c r="B86" s="53">
        <v>2016.0</v>
      </c>
      <c r="C86" s="53" t="s">
        <v>123</v>
      </c>
      <c r="D86" s="57"/>
      <c r="E86" s="55" t="s">
        <v>126</v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 ht="21.0" customHeight="1">
      <c r="A87" s="52" t="str">
        <f>HYPERLINK("https://store.steampowered.com/app/450440/Creepy_Castle/","Creepy Castle")</f>
        <v>Creepy Castle</v>
      </c>
      <c r="B87" s="53">
        <v>2016.0</v>
      </c>
      <c r="C87" s="53" t="s">
        <v>123</v>
      </c>
      <c r="D87" s="54" t="s">
        <v>185</v>
      </c>
      <c r="E87" s="55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 ht="21.0" customHeight="1">
      <c r="A88" s="52" t="str">
        <f>HYPERLINK("https://www.humblebundle.com/store/crest?partner=seriouslyclara","Crest")</f>
        <v>Crest</v>
      </c>
      <c r="B88" s="53">
        <v>2018.0</v>
      </c>
      <c r="C88" s="53" t="s">
        <v>123</v>
      </c>
      <c r="D88" s="54" t="s">
        <v>186</v>
      </c>
      <c r="E88" s="55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 ht="21.0" customHeight="1">
      <c r="A89" s="52" t="str">
        <f>HYPERLINK("https://www.humblebundle.com/store/crossing-souls?partner=seriouslyclara","Crossing Souls")</f>
        <v>Crossing Souls</v>
      </c>
      <c r="B89" s="53">
        <v>2018.0</v>
      </c>
      <c r="C89" s="53" t="s">
        <v>123</v>
      </c>
      <c r="D89" s="54" t="s">
        <v>187</v>
      </c>
      <c r="E89" s="55" t="s">
        <v>126</v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 ht="21.0" customHeight="1">
      <c r="A90" s="52" t="str">
        <f>HYPERLINK("https://www.humblebundle.com/store/crypt-of-the-necrodancer?partner=seriouslyclara","Crypt of the Necrodancer")</f>
        <v>Crypt of the Necrodancer</v>
      </c>
      <c r="B90" s="53">
        <v>2015.0</v>
      </c>
      <c r="C90" s="53" t="s">
        <v>123</v>
      </c>
      <c r="D90" s="57"/>
      <c r="E90" s="55" t="s">
        <v>126</v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ht="21.0" customHeight="1">
      <c r="A91" s="55" t="s">
        <v>188</v>
      </c>
      <c r="B91" s="53"/>
      <c r="C91" s="53" t="s">
        <v>189</v>
      </c>
      <c r="D91" s="57"/>
      <c r="E91" s="55" t="s">
        <v>126</v>
      </c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ht="21.0" customHeight="1">
      <c r="A92" s="52" t="str">
        <f>HYPERLINK("https://www.humblebundle.com/store/cultist-simulator?partner=seriouslyclara","Cultist Simulator")</f>
        <v>Cultist Simulator</v>
      </c>
      <c r="B92" s="53">
        <v>2018.0</v>
      </c>
      <c r="C92" s="53" t="s">
        <v>123</v>
      </c>
      <c r="D92" s="54" t="s">
        <v>190</v>
      </c>
      <c r="E92" s="55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ht="21.0" customHeight="1">
      <c r="A93" s="52" t="str">
        <f>HYPERLINK("https://www.humblebundle.com/store/cuphead?partner=seriouslyclara","Cuphead")</f>
        <v>Cuphead</v>
      </c>
      <c r="B93" s="53">
        <v>2017.0</v>
      </c>
      <c r="C93" s="53" t="s">
        <v>123</v>
      </c>
      <c r="D93" s="57"/>
      <c r="E93" s="55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ht="21.0" customHeight="1">
      <c r="A94" s="52" t="str">
        <f>HYPERLINK("https://store.steampowered.com/app/534290/Cursed_Castilla_Maldita_Castilla_EX/","Cursed Castilla (Maldita Castilla EX)")</f>
        <v>Cursed Castilla (Maldita Castilla EX)</v>
      </c>
      <c r="B94" s="53">
        <v>2016.0</v>
      </c>
      <c r="C94" s="53" t="s">
        <v>123</v>
      </c>
      <c r="D94" s="54" t="s">
        <v>191</v>
      </c>
      <c r="E94" s="55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ht="21.0" customHeight="1">
      <c r="A95" s="52" t="str">
        <f>HYPERLINK("https://www.humblebundle.com/store/dark-echo?partner=seriouslyclara","Dark Echo")</f>
        <v>Dark Echo</v>
      </c>
      <c r="B95" s="53">
        <v>2015.0</v>
      </c>
      <c r="C95" s="53" t="s">
        <v>123</v>
      </c>
      <c r="D95" s="57"/>
      <c r="E95" s="55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ht="21.0" customHeight="1">
      <c r="A96" s="52" t="str">
        <f>HYPERLINK("https://www.humblebundle.com/store/dark-souls-remastered?partner=seriouslyclara","Dark Souls: Prepare to Die Edition")</f>
        <v>Dark Souls: Prepare to Die Edition</v>
      </c>
      <c r="B96" s="53"/>
      <c r="C96" s="53" t="s">
        <v>123</v>
      </c>
      <c r="D96" s="57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ht="21.0" customHeight="1">
      <c r="A97" s="52" t="str">
        <f>HYPERLINK("https://www.humblebundle.com/store/darkest-dungeon?partner=seriouslyclara","Darkest Dungeon")</f>
        <v>Darkest Dungeon</v>
      </c>
      <c r="B97" s="53">
        <v>2016.0</v>
      </c>
      <c r="C97" s="53" t="s">
        <v>123</v>
      </c>
      <c r="D97" s="57"/>
      <c r="E97" s="55" t="s">
        <v>126</v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ht="21.0" customHeight="1">
      <c r="A98" s="52" t="str">
        <f>HYPERLINK("https://store.steampowered.com/app/406130/DarkMaus/","DarkMaus")</f>
        <v>DarkMaus</v>
      </c>
      <c r="B98" s="53">
        <v>2016.0</v>
      </c>
      <c r="C98" s="53" t="s">
        <v>123</v>
      </c>
      <c r="D98" s="54" t="s">
        <v>192</v>
      </c>
      <c r="E98" s="55" t="s">
        <v>126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ht="21.0" customHeight="1">
      <c r="A99" s="52" t="str">
        <f>HYPERLINK("https://www.humblebundle.com/store/darksiders-warmastered-edition?partner=seriouslyclara","Darksiders Warmastered Edition")</f>
        <v>Darksiders Warmastered Edition</v>
      </c>
      <c r="B99" s="53">
        <v>2016.0</v>
      </c>
      <c r="C99" s="53" t="s">
        <v>123</v>
      </c>
      <c r="D99" s="54" t="s">
        <v>193</v>
      </c>
      <c r="E99" s="55" t="s">
        <v>126</v>
      </c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ht="21.0" customHeight="1">
      <c r="A100" s="52" t="str">
        <f>HYPERLINK("https://www.humblebundle.com/store/dead-cells?partner=seriouslyclara","Dead Cells")</f>
        <v>Dead Cells</v>
      </c>
      <c r="B100" s="53">
        <v>2018.0</v>
      </c>
      <c r="C100" s="53" t="s">
        <v>123</v>
      </c>
      <c r="D100" s="54" t="s">
        <v>194</v>
      </c>
      <c r="E100" s="5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ht="21.0" customHeight="1">
      <c r="A101" s="52" t="str">
        <f>HYPERLINK("https://store.steampowered.com/app/352460/Dead_Realm/","Dead Realm")</f>
        <v>Dead Realm</v>
      </c>
      <c r="B101" s="53">
        <v>2015.0</v>
      </c>
      <c r="C101" s="53" t="s">
        <v>123</v>
      </c>
      <c r="D101" s="57"/>
      <c r="E101" s="55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ht="21.0" customHeight="1">
      <c r="A102" s="52" t="str">
        <f>HYPERLINK("https://www.humblebundle.com/store/deadcore?partner=seriouslyclara","DeadCore")</f>
        <v>DeadCore</v>
      </c>
      <c r="B102" s="53">
        <v>2014.0</v>
      </c>
      <c r="C102" s="53" t="s">
        <v>123</v>
      </c>
      <c r="D102" s="57"/>
      <c r="E102" s="55" t="s">
        <v>126</v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 ht="21.0" customHeight="1">
      <c r="A103" s="52" t="str">
        <f>HYPERLINK("https://www.humblebundle.com/store/death-road-to-canada?partner=seriouslyclara","Death Road to Canada")</f>
        <v>Death Road to Canada</v>
      </c>
      <c r="B103" s="53">
        <v>2016.0</v>
      </c>
      <c r="C103" s="53" t="s">
        <v>123</v>
      </c>
      <c r="D103" s="54" t="s">
        <v>195</v>
      </c>
      <c r="E103" s="57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ht="21.0" customHeight="1">
      <c r="A104" s="52" t="str">
        <f>HYPERLINK("https://store.steampowered.com/app/471810/Death_Squared/","Death Squared")</f>
        <v>Death Squared</v>
      </c>
      <c r="B104" s="53">
        <v>2017.0</v>
      </c>
      <c r="C104" s="53" t="s">
        <v>123</v>
      </c>
      <c r="D104" s="54" t="s">
        <v>196</v>
      </c>
      <c r="E104" s="55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 ht="21.0" customHeight="1">
      <c r="A105" s="52" t="str">
        <f>HYPERLINK("https://www.humblebundle.com/store/defenders-quest-valley-of-the-forgotten?partner=seriouslyclara","Defender’s Quest: Valley of the Forgotten")</f>
        <v>Defender’s Quest: Valley of the Forgotten</v>
      </c>
      <c r="B105" s="53">
        <v>2012.0</v>
      </c>
      <c r="C105" s="53" t="s">
        <v>123</v>
      </c>
      <c r="D105" s="57"/>
      <c r="E105" s="55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 ht="21.0" customHeight="1">
      <c r="A106" s="52" t="str">
        <f>HYPERLINK("https://www.humblebundle.com/store/deiland?partner=seriouslyclara","Deiland")</f>
        <v>Deiland</v>
      </c>
      <c r="B106" s="53">
        <v>2018.0</v>
      </c>
      <c r="C106" s="53" t="s">
        <v>123</v>
      </c>
      <c r="D106" s="54" t="s">
        <v>197</v>
      </c>
      <c r="E106" s="55" t="s">
        <v>126</v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</row>
    <row r="107" ht="21.0" customHeight="1">
      <c r="A107" s="52" t="str">
        <f>HYPERLINK("https://store.steampowered.com/app/249630/Delver/","Delver")</f>
        <v>Delver</v>
      </c>
      <c r="B107" s="53">
        <v>2018.0</v>
      </c>
      <c r="C107" s="53" t="s">
        <v>123</v>
      </c>
      <c r="D107" s="54" t="s">
        <v>198</v>
      </c>
      <c r="E107" s="55" t="s">
        <v>126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 ht="21.0" customHeight="1">
      <c r="A108" s="52" t="str">
        <f>HYPERLINK("https://www.humblebundle.com/store/deponia-doomsday?partner=seriouslyclara","Deponia Doomsday")</f>
        <v>Deponia Doomsday</v>
      </c>
      <c r="B108" s="53">
        <v>2016.0</v>
      </c>
      <c r="C108" s="53" t="s">
        <v>123</v>
      </c>
      <c r="D108" s="54" t="s">
        <v>199</v>
      </c>
      <c r="E108" s="57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 ht="21.0" customHeight="1">
      <c r="A109" s="52" t="str">
        <f>HYPERLINK("https://www.humblebundle.com/store/depth?partner=seriouslyclara","Depth")</f>
        <v>Depth</v>
      </c>
      <c r="B109" s="53">
        <v>2014.0</v>
      </c>
      <c r="C109" s="53" t="s">
        <v>123</v>
      </c>
      <c r="D109" s="57"/>
      <c r="E109" s="55" t="s">
        <v>126</v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 ht="21.0" customHeight="1">
      <c r="A110" s="52" t="str">
        <f>HYPERLINK("https://www.humblebundle.com/store/deputy-dangle?partner=seriouslyclara","Deputy Dangle")</f>
        <v>Deputy Dangle</v>
      </c>
      <c r="B110" s="53">
        <v>2016.0</v>
      </c>
      <c r="C110" s="53" t="s">
        <v>123</v>
      </c>
      <c r="D110" s="54" t="s">
        <v>200</v>
      </c>
      <c r="E110" s="57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</row>
    <row r="111" ht="21.0" customHeight="1">
      <c r="A111" s="52" t="str">
        <f>HYPERLINK("https://store.steampowered.com/app/555220/Detention/","Detention")</f>
        <v>Detention</v>
      </c>
      <c r="B111" s="53">
        <v>2017.0</v>
      </c>
      <c r="C111" s="53" t="s">
        <v>123</v>
      </c>
      <c r="D111" s="54" t="s">
        <v>201</v>
      </c>
      <c r="E111" s="5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 ht="21.0" customHeight="1">
      <c r="A112" s="52" t="str">
        <f>HYPERLINK("https://www.humblebundle.com/store/diaries-of-a-spaceport-janitor?partner=seriouslyclara","Diaries of a Spaceport Janitor")</f>
        <v>Diaries of a Spaceport Janitor</v>
      </c>
      <c r="B112" s="53">
        <v>2016.0</v>
      </c>
      <c r="C112" s="53" t="s">
        <v>123</v>
      </c>
      <c r="D112" s="54" t="s">
        <v>202</v>
      </c>
      <c r="E112" s="55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</row>
    <row r="113" ht="21.0" customHeight="1">
      <c r="A113" s="52" t="str">
        <f>HYPERLINK("https://store.steampowered.com/app/535230/Domina/","Domina")</f>
        <v>Domina</v>
      </c>
      <c r="B113" s="53">
        <v>2017.0</v>
      </c>
      <c r="C113" s="53" t="s">
        <v>123</v>
      </c>
      <c r="D113" s="54" t="s">
        <v>203</v>
      </c>
      <c r="E113" s="55" t="s">
        <v>126</v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 ht="21.0" customHeight="1">
      <c r="A114" s="52" t="str">
        <f>HYPERLINK("https://www.humblebundle.com/store/dont-starve?partner=seriouslyclara","Don’t Starve")</f>
        <v>Don’t Starve</v>
      </c>
      <c r="B114" s="53">
        <v>2013.0</v>
      </c>
      <c r="C114" s="53" t="s">
        <v>123</v>
      </c>
      <c r="D114" s="57"/>
      <c r="E114" s="55" t="s">
        <v>126</v>
      </c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</row>
    <row r="115" ht="21.0" customHeight="1">
      <c r="A115" s="52" t="str">
        <f>HYPERLINK("https://store.steampowered.com/app/322330/Dont_Starve_Together/","Don’t Starve Together")</f>
        <v>Don’t Starve Together</v>
      </c>
      <c r="B115" s="53">
        <v>2016.0</v>
      </c>
      <c r="C115" s="53" t="s">
        <v>123</v>
      </c>
      <c r="D115" s="57"/>
      <c r="E115" s="55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</row>
    <row r="116" ht="21.0" customHeight="1">
      <c r="A116" s="52" t="str">
        <f>HYPERLINK("https://store.steampowered.com/app/702670/Donut_County/","Donut County")</f>
        <v>Donut County</v>
      </c>
      <c r="B116" s="53">
        <v>2018.0</v>
      </c>
      <c r="C116" s="53" t="s">
        <v>123</v>
      </c>
      <c r="D116" s="54" t="s">
        <v>204</v>
      </c>
      <c r="E116" s="57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</row>
    <row r="117" ht="21.0" customHeight="1">
      <c r="A117" s="58" t="s">
        <v>205</v>
      </c>
      <c r="B117" s="53"/>
      <c r="C117" s="53" t="s">
        <v>123</v>
      </c>
      <c r="D117" s="57"/>
      <c r="E117" s="55" t="s">
        <v>126</v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</row>
    <row r="118" ht="21.0" customHeight="1">
      <c r="A118" s="52" t="str">
        <f>HYPERLINK("https://store.steampowered.com/app/17450/Dragon_Age_Origins/","Dragon Age: Origins")</f>
        <v>Dragon Age: Origins</v>
      </c>
      <c r="B118" s="53">
        <v>2009.0</v>
      </c>
      <c r="C118" s="53" t="s">
        <v>123</v>
      </c>
      <c r="D118" s="57"/>
      <c r="E118" s="57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</row>
    <row r="119" ht="21.0" customHeight="1">
      <c r="A119" s="52" t="str">
        <f>HYPERLINK("https://www.humblebundle.com/store/draw-a-stickman-epic?partner=seriouslyclara","Draw a Stickman: EPIC")</f>
        <v>Draw a Stickman: EPIC</v>
      </c>
      <c r="B119" s="53">
        <v>2013.0</v>
      </c>
      <c r="C119" s="53" t="s">
        <v>123</v>
      </c>
      <c r="D119" s="57"/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</row>
    <row r="120" ht="21.0" customHeight="1">
      <c r="A120" s="52" t="str">
        <f>HYPERLINK("https://www.humblebundle.com/store/dream-daddy-a-dad-dating-simulator?partner=seriouslyclara","Dream Daddy: A Dad Dating Simulator")</f>
        <v>Dream Daddy: A Dad Dating Simulator</v>
      </c>
      <c r="B120" s="53">
        <v>2017.0</v>
      </c>
      <c r="C120" s="53" t="s">
        <v>123</v>
      </c>
      <c r="D120" s="54" t="s">
        <v>206</v>
      </c>
      <c r="E120" s="5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</row>
    <row r="121" ht="21.0" customHeight="1">
      <c r="A121" s="52" t="str">
        <f>HYPERLINK("https://www.humblebundle.com/store/dropsy?partner=seriouslyclara","Dropsy")</f>
        <v>Dropsy</v>
      </c>
      <c r="B121" s="53">
        <v>2015.0</v>
      </c>
      <c r="C121" s="53" t="s">
        <v>123</v>
      </c>
      <c r="D121" s="54" t="s">
        <v>207</v>
      </c>
      <c r="E121" s="55" t="s">
        <v>126</v>
      </c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 ht="21.0" customHeight="1">
      <c r="A122" s="52" t="str">
        <f>HYPERLINK("https://store.steampowered.com/app/209060/Drunken_Robot_Pornography/","Drunk Robot Pornography")</f>
        <v>Drunk Robot Pornography</v>
      </c>
      <c r="B122" s="53">
        <v>2014.0</v>
      </c>
      <c r="C122" s="53" t="s">
        <v>123</v>
      </c>
      <c r="D122" s="57"/>
      <c r="E122" s="55" t="s">
        <v>126</v>
      </c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</row>
    <row r="123" ht="21.0" customHeight="1">
      <c r="A123" s="52" t="str">
        <f>HYPERLINK("https://store.steampowered.com/app/290000/DubWars/","DubWars")</f>
        <v>DubWars</v>
      </c>
      <c r="B123" s="53">
        <v>2016.0</v>
      </c>
      <c r="C123" s="53" t="s">
        <v>123</v>
      </c>
      <c r="D123" s="54" t="s">
        <v>208</v>
      </c>
      <c r="E123" s="55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</row>
    <row r="124" ht="21.0" customHeight="1">
      <c r="A124" s="52" t="str">
        <f>HYPERLINK("https://www.humblebundle.com/store/duck-game?partner=seriouslyclara","Duck Game")</f>
        <v>Duck Game</v>
      </c>
      <c r="B124" s="53">
        <v>2015.0</v>
      </c>
      <c r="C124" s="53" t="s">
        <v>123</v>
      </c>
      <c r="D124" s="54" t="s">
        <v>209</v>
      </c>
      <c r="E124" s="55" t="s">
        <v>126</v>
      </c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</row>
    <row r="125" ht="21.0" customHeight="1">
      <c r="A125" s="52" t="str">
        <f>HYPERLINK("https://www.humblebundle.com/store/dungeon-defenders-collection?partner=seriouslyclara","Dungeon Defenders")</f>
        <v>Dungeon Defenders</v>
      </c>
      <c r="B125" s="53">
        <v>2011.0</v>
      </c>
      <c r="C125" s="53" t="s">
        <v>123</v>
      </c>
      <c r="D125" s="57"/>
      <c r="E125" s="55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</row>
    <row r="126" ht="21.0" customHeight="1">
      <c r="A126" s="52" t="str">
        <f>HYPERLINK("https://www.humblebundle.com/store/dungeon-souls?partner=seriouslyclara","Dungeon Souls")</f>
        <v>Dungeon Souls</v>
      </c>
      <c r="B126" s="53">
        <v>2016.0</v>
      </c>
      <c r="C126" s="53" t="s">
        <v>123</v>
      </c>
      <c r="D126" s="54" t="s">
        <v>210</v>
      </c>
      <c r="E126" s="55" t="s">
        <v>126</v>
      </c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</row>
    <row r="127" ht="21.0" customHeight="1">
      <c r="A127" s="52" t="str">
        <f>HYPERLINK("https://store.steampowered.com/app/753420/Dungreed/","Dungreed")</f>
        <v>Dungreed</v>
      </c>
      <c r="B127" s="53">
        <v>2018.0</v>
      </c>
      <c r="C127" s="53" t="s">
        <v>123</v>
      </c>
      <c r="D127" s="54" t="s">
        <v>211</v>
      </c>
      <c r="E127" s="57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</row>
    <row r="128" ht="21.0" customHeight="1">
      <c r="A128" s="52" t="str">
        <f>HYPERLINK("https://www.humblebundle.com/store/dust-an-elysian-tail?partner=seriouslyclara","Dust: An Elysian Tail")</f>
        <v>Dust: An Elysian Tail</v>
      </c>
      <c r="B128" s="53">
        <v>2013.0</v>
      </c>
      <c r="C128" s="53" t="s">
        <v>123</v>
      </c>
      <c r="D128" s="57"/>
      <c r="E128" s="55" t="s">
        <v>126</v>
      </c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 ht="21.0" customHeight="1">
      <c r="A129" s="52" t="str">
        <f>HYPERLINK("https://www.humblebundle.com/store/dying-light-the-following-enhanced-edition?partner=seriouslyclara","Dying Light")</f>
        <v>Dying Light</v>
      </c>
      <c r="B129" s="53">
        <v>2015.0</v>
      </c>
      <c r="C129" s="53" t="s">
        <v>123</v>
      </c>
      <c r="D129" s="57"/>
      <c r="E129" s="55" t="s">
        <v>126</v>
      </c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</row>
    <row r="130" ht="21.0" customHeight="1">
      <c r="A130" s="52" t="str">
        <f>HYPERLINK("https://store.steampowered.com/app/234920/Dyscourse/","Dyscourse")</f>
        <v>Dyscourse</v>
      </c>
      <c r="B130" s="53">
        <v>2015.0</v>
      </c>
      <c r="C130" s="53" t="s">
        <v>123</v>
      </c>
      <c r="D130" s="54" t="s">
        <v>212</v>
      </c>
      <c r="E130" s="55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</row>
    <row r="131" ht="21.0" customHeight="1">
      <c r="A131" s="55" t="s">
        <v>213</v>
      </c>
      <c r="B131" s="53"/>
      <c r="C131" s="53" t="s">
        <v>176</v>
      </c>
      <c r="D131" s="57"/>
      <c r="E131" s="55" t="s">
        <v>126</v>
      </c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</row>
    <row r="132" ht="21.0" customHeight="1">
      <c r="A132" s="52" t="str">
        <f>HYPERLINK("https://www.humblebundle.com/store/earthlock?partner=seriouslyclara","EARTHLOCK")</f>
        <v>EARTHLOCK</v>
      </c>
      <c r="B132" s="53">
        <v>2016.0</v>
      </c>
      <c r="C132" s="53" t="s">
        <v>123</v>
      </c>
      <c r="D132" s="54" t="s">
        <v>214</v>
      </c>
      <c r="E132" s="55" t="s">
        <v>126</v>
      </c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</row>
    <row r="133" ht="21.0" customHeight="1">
      <c r="A133" s="52" t="str">
        <f>HYPERLINK("https://store.steampowered.com/app/305780/Echo_of_the_Wilds/","Echo of the Wilds")</f>
        <v>Echo of the Wilds</v>
      </c>
      <c r="B133" s="53">
        <v>2014.0</v>
      </c>
      <c r="C133" s="53" t="s">
        <v>123</v>
      </c>
      <c r="D133" s="54" t="s">
        <v>215</v>
      </c>
      <c r="E133" s="55" t="s">
        <v>126</v>
      </c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</row>
    <row r="134" ht="21.0" customHeight="1">
      <c r="A134" s="52" t="str">
        <f>HYPERLINK("https://store.steampowered.com/app/417860/Emily_is_Away/","Emily is Away")</f>
        <v>Emily is Away</v>
      </c>
      <c r="B134" s="53">
        <v>2015.0</v>
      </c>
      <c r="C134" s="53" t="s">
        <v>123</v>
      </c>
      <c r="D134" s="54" t="s">
        <v>216</v>
      </c>
      <c r="E134" s="55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 ht="21.0" customHeight="1">
      <c r="A135" s="52" t="str">
        <f>HYPERLINK("https://www.humblebundle.com/store/enter-the-gungeon?partner=seriouslyclara","Enter the Gungeon")</f>
        <v>Enter the Gungeon</v>
      </c>
      <c r="B135" s="53">
        <v>2016.0</v>
      </c>
      <c r="C135" s="53" t="s">
        <v>123</v>
      </c>
      <c r="D135" s="57"/>
      <c r="E135" s="55" t="s">
        <v>126</v>
      </c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 ht="21.0" customHeight="1">
      <c r="A136" s="52" t="str">
        <f>HYPERLINK("https://store.steampowered.com/app/853550/Equilinox/","Equilinox")</f>
        <v>Equilinox</v>
      </c>
      <c r="B136" s="53">
        <v>2018.0</v>
      </c>
      <c r="C136" s="53" t="s">
        <v>123</v>
      </c>
      <c r="D136" s="54" t="s">
        <v>217</v>
      </c>
      <c r="E136" s="55" t="s">
        <v>126</v>
      </c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 ht="21.0" customHeight="1">
      <c r="A137" s="52" t="str">
        <f>HYPERLINK("https://www.humblebundle.com/store/evoland?partner=seriouslyclara","Evoland")</f>
        <v>Evoland</v>
      </c>
      <c r="B137" s="53">
        <v>2013.0</v>
      </c>
      <c r="C137" s="53" t="s">
        <v>123</v>
      </c>
      <c r="D137" s="57"/>
      <c r="E137" s="55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 ht="21.0" customHeight="1">
      <c r="A138" s="52" t="str">
        <f>HYPERLINK("https://www.humblebundle.com/store/evoland-2?partner=seriouslyclara","Evoland 2")</f>
        <v>Evoland 2</v>
      </c>
      <c r="B138" s="53">
        <v>2015.0</v>
      </c>
      <c r="C138" s="53" t="s">
        <v>123</v>
      </c>
      <c r="D138" s="57"/>
      <c r="E138" s="55" t="s">
        <v>126</v>
      </c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 ht="21.0" customHeight="1">
      <c r="A139" s="55" t="s">
        <v>218</v>
      </c>
      <c r="B139" s="53"/>
      <c r="C139" s="53" t="s">
        <v>189</v>
      </c>
      <c r="D139" s="57"/>
      <c r="E139" s="55" t="s">
        <v>126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 ht="21.0" customHeight="1">
      <c r="A140" s="52" t="str">
        <f>HYPERLINK("https://www.humblebundle.com/store/fallout-new-vegas-ultimate-edition?partner=seriouslyclara","Fallout: New Vegas")</f>
        <v>Fallout: New Vegas</v>
      </c>
      <c r="B140" s="53">
        <v>2010.0</v>
      </c>
      <c r="C140" s="53" t="s">
        <v>123</v>
      </c>
      <c r="D140" s="57"/>
      <c r="E140" s="55" t="s">
        <v>126</v>
      </c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ht="21.0" customHeight="1">
      <c r="A141" s="52" t="str">
        <f>HYPERLINK("https://www.humblebundle.com/store/far-lone-sails?partner=seriouslyclara","FAR: Lone Sails")</f>
        <v>FAR: Lone Sails</v>
      </c>
      <c r="B141" s="53">
        <v>2018.0</v>
      </c>
      <c r="C141" s="53" t="s">
        <v>123</v>
      </c>
      <c r="D141" s="54" t="s">
        <v>219</v>
      </c>
      <c r="E141" s="55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 ht="21.0" customHeight="1">
      <c r="A142" s="52" t="str">
        <f>HYPERLINK("https://www.humblebundle.com/store/feist?partner=seriouslyclara","Feist")</f>
        <v>Feist</v>
      </c>
      <c r="B142" s="53">
        <v>2015.0</v>
      </c>
      <c r="C142" s="53" t="s">
        <v>123</v>
      </c>
      <c r="D142" s="54" t="s">
        <v>220</v>
      </c>
      <c r="E142" s="57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 ht="21.0" customHeight="1">
      <c r="A143" s="52" t="str">
        <f>HYPERLINK("https://www.humblebundle.com/store/fez?partner=seriouslyclara","FEZ")</f>
        <v>FEZ</v>
      </c>
      <c r="B143" s="53">
        <v>2013.0</v>
      </c>
      <c r="C143" s="53" t="s">
        <v>123</v>
      </c>
      <c r="D143" s="54" t="s">
        <v>221</v>
      </c>
      <c r="E143" s="55" t="s">
        <v>126</v>
      </c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 ht="21.0" customHeight="1">
      <c r="A144" s="52" t="str">
        <f>HYPERLINK("https://www.humblebundle.com/store/figment?partner=seriouslyclara","Figment")</f>
        <v>Figment</v>
      </c>
      <c r="B144" s="53">
        <v>2017.0</v>
      </c>
      <c r="C144" s="53" t="s">
        <v>123</v>
      </c>
      <c r="D144" s="54" t="s">
        <v>222</v>
      </c>
      <c r="E144" s="57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 ht="21.0" customHeight="1">
      <c r="A145" s="52" t="str">
        <f>HYPERLINK("https://www.humblebundle.com/store/finding-paradise?partner=seriouslyclara","Finding Paradise")</f>
        <v>Finding Paradise</v>
      </c>
      <c r="B145" s="53">
        <v>2017.0</v>
      </c>
      <c r="C145" s="53" t="s">
        <v>123</v>
      </c>
      <c r="D145" s="54" t="s">
        <v>223</v>
      </c>
      <c r="E145" s="57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 ht="21.0" customHeight="1">
      <c r="A146" s="52" t="str">
        <f>HYPERLINK("https://www.humblebundle.com/store/finding-teddy?partner=seriouslyclara","Finding Teddy")</f>
        <v>Finding Teddy</v>
      </c>
      <c r="B146" s="53">
        <v>2013.0</v>
      </c>
      <c r="C146" s="53" t="s">
        <v>123</v>
      </c>
      <c r="D146" s="57"/>
      <c r="E146" s="55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 ht="21.0" customHeight="1">
      <c r="A147" s="55" t="s">
        <v>224</v>
      </c>
      <c r="B147" s="53"/>
      <c r="C147" s="53" t="s">
        <v>123</v>
      </c>
      <c r="D147" s="57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 ht="21.0" customHeight="1">
      <c r="A148" s="52" t="str">
        <f>HYPERLINK("https://www.humblebundle.com/store/a-fistful-of-gun?partner=seriouslyclara","Fistful of Gun")</f>
        <v>Fistful of Gun</v>
      </c>
      <c r="B148" s="53">
        <v>2015.0</v>
      </c>
      <c r="C148" s="53" t="s">
        <v>123</v>
      </c>
      <c r="D148" s="57"/>
      <c r="E148" s="55" t="s">
        <v>126</v>
      </c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 ht="21.0" customHeight="1">
      <c r="A149" s="52" t="str">
        <f>HYPERLINK("https://store.steampowered.com/app/319510/Five_Nights_at_Freddys/","Five Nights at Freddy’s")</f>
        <v>Five Nights at Freddy’s</v>
      </c>
      <c r="B149" s="53">
        <v>2014.0</v>
      </c>
      <c r="C149" s="53" t="s">
        <v>123</v>
      </c>
      <c r="D149" s="57"/>
      <c r="E149" s="55" t="s">
        <v>126</v>
      </c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 ht="21.0" customHeight="1">
      <c r="A150" s="52" t="str">
        <f>HYPERLINK("https://www.humblebundle.com/store/flat-kingdom?partner=seriouslyclara","Flat Kingdom: Paper's Cut Edition")</f>
        <v>Flat Kingdom: Paper's Cut Edition</v>
      </c>
      <c r="B150" s="53">
        <v>2016.0</v>
      </c>
      <c r="C150" s="53" t="s">
        <v>123</v>
      </c>
      <c r="D150" s="54" t="s">
        <v>225</v>
      </c>
      <c r="E150" s="55" t="s">
        <v>126</v>
      </c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 ht="21.0" customHeight="1">
      <c r="A151" s="52" t="str">
        <f>HYPERLINK("https://www.humblebundle.com/store/for-the-king?partner=seriouslyclara","For the King")</f>
        <v>For the King</v>
      </c>
      <c r="B151" s="53">
        <v>2018.0</v>
      </c>
      <c r="C151" s="53" t="s">
        <v>123</v>
      </c>
      <c r="D151" s="54" t="s">
        <v>226</v>
      </c>
      <c r="E151" s="55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 ht="21.0" customHeight="1">
      <c r="A152" s="52" t="str">
        <f>HYPERLINK("https://store.steampowered.com/app/503400/Four_Last_Things/","Four Last Things")</f>
        <v>Four Last Things</v>
      </c>
      <c r="B152" s="53">
        <v>2017.0</v>
      </c>
      <c r="C152" s="53" t="s">
        <v>123</v>
      </c>
      <c r="D152" s="54" t="s">
        <v>227</v>
      </c>
      <c r="E152" s="55" t="s">
        <v>126</v>
      </c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 ht="21.0" customHeight="1">
      <c r="A153" s="52" t="str">
        <f>HYPERLINK("https://www.humblebundle.com/store/framed-collection?partner=seriouslyclara","FRAMED Collection")</f>
        <v>FRAMED Collection</v>
      </c>
      <c r="B153" s="53">
        <v>2018.0</v>
      </c>
      <c r="C153" s="53" t="s">
        <v>123</v>
      </c>
      <c r="D153" s="54" t="s">
        <v>228</v>
      </c>
      <c r="E153" s="55" t="s">
        <v>126</v>
      </c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 ht="21.0" customHeight="1">
      <c r="A154" s="52" t="str">
        <f>HYPERLINK("https://www.humblebundle.com/store/fran-bow?partner=seriouslyclara","Fran Bow")</f>
        <v>Fran Bow</v>
      </c>
      <c r="B154" s="53">
        <v>2015.0</v>
      </c>
      <c r="C154" s="53" t="s">
        <v>123</v>
      </c>
      <c r="D154" s="54" t="s">
        <v>229</v>
      </c>
      <c r="E154" s="55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 ht="21.0" customHeight="1">
      <c r="A155" s="52" t="str">
        <f>HYPERLINK("https://www.humblebundle.com/store/freezeme?partner=seriouslyclara","FreezeME")</f>
        <v>FreezeME</v>
      </c>
      <c r="B155" s="53">
        <v>2015.0</v>
      </c>
      <c r="C155" s="53" t="s">
        <v>123</v>
      </c>
      <c r="D155" s="54" t="s">
        <v>230</v>
      </c>
      <c r="E155" s="55" t="s">
        <v>126</v>
      </c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 ht="21.0" customHeight="1">
      <c r="A156" s="52" t="str">
        <f>HYPERLINK("https://www.humblebundle.com/store/frost?partner=seriouslyclara","Frost")</f>
        <v>Frost</v>
      </c>
      <c r="B156" s="53">
        <v>2016.0</v>
      </c>
      <c r="C156" s="53" t="s">
        <v>123</v>
      </c>
      <c r="D156" s="54" t="s">
        <v>231</v>
      </c>
      <c r="E156" s="55" t="s">
        <v>126</v>
      </c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 ht="21.0" customHeight="1">
      <c r="A157" s="52" t="str">
        <f>HYPERLINK("https://www.humblebundle.com/store/frostpunk?partner=seriouslyclara","Frostpunk")</f>
        <v>Frostpunk</v>
      </c>
      <c r="B157" s="53">
        <v>2018.0</v>
      </c>
      <c r="C157" s="53" t="s">
        <v>123</v>
      </c>
      <c r="D157" s="54" t="s">
        <v>232</v>
      </c>
      <c r="E157" s="55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 ht="21.0" customHeight="1">
      <c r="A158" s="52" t="str">
        <f>HYPERLINK("https://www.humblebundle.com/store/ftl-faster-than-light?partner=seriouslyclara","FTL: Faster Than Light")</f>
        <v>FTL: Faster Than Light</v>
      </c>
      <c r="B158" s="53">
        <v>2012.0</v>
      </c>
      <c r="C158" s="53" t="s">
        <v>123</v>
      </c>
      <c r="D158" s="57"/>
      <c r="E158" s="55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 ht="21.0" customHeight="1">
      <c r="A159" s="52" t="str">
        <f>HYPERLINK("https://www.humblebundle.com/store/game-of-thrones-a-telltale-games-series?partner=seriouslyclara","Game of Thrones - A Telltale Games Series")</f>
        <v>Game of Thrones - A Telltale Games Series</v>
      </c>
      <c r="B159" s="53">
        <v>2014.0</v>
      </c>
      <c r="C159" s="53" t="s">
        <v>123</v>
      </c>
      <c r="D159" s="57"/>
      <c r="E159" s="55" t="s">
        <v>126</v>
      </c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 ht="21.0" customHeight="1">
      <c r="A160" s="52" t="str">
        <f>HYPERLINK("https://www.humblebundle.com/store/gauntlet?partner=seriouslyclara","Gauntlet Slayer Edition")</f>
        <v>Gauntlet Slayer Edition</v>
      </c>
      <c r="B160" s="53">
        <v>2014.0</v>
      </c>
      <c r="C160" s="53" t="s">
        <v>123</v>
      </c>
      <c r="D160" s="57"/>
      <c r="E160" s="55" t="s">
        <v>126</v>
      </c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 ht="21.0" customHeight="1">
      <c r="A161" s="52" t="str">
        <f>HYPERLINK("https://www.humblebundle.com/store/ghost-of-a-tale?partner=seriouslyclara","Ghost of a Tale")</f>
        <v>Ghost of a Tale</v>
      </c>
      <c r="B161" s="53">
        <v>2018.0</v>
      </c>
      <c r="C161" s="53" t="s">
        <v>123</v>
      </c>
      <c r="D161" s="54" t="s">
        <v>233</v>
      </c>
      <c r="E161" s="55" t="s">
        <v>126</v>
      </c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 ht="21.0" customHeight="1">
      <c r="A162" s="52" t="str">
        <f>HYPERLINK("https://store.steampowered.com/app/409520/Ginger_Beyond_the_Crystal/","Ginger: Beyond the Crystal")</f>
        <v>Ginger: Beyond the Crystal</v>
      </c>
      <c r="B162" s="53">
        <v>2016.0</v>
      </c>
      <c r="C162" s="53" t="s">
        <v>123</v>
      </c>
      <c r="D162" s="55"/>
      <c r="E162" s="55" t="s">
        <v>126</v>
      </c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 ht="21.0" customHeight="1">
      <c r="A163" s="52" t="str">
        <f>HYPERLINK("https://www.humblebundle.com/store/frost?partner=seriouslyclara","Glare")</f>
        <v>Glare</v>
      </c>
      <c r="B163" s="53">
        <v>2013.0</v>
      </c>
      <c r="C163" s="53" t="s">
        <v>123</v>
      </c>
      <c r="D163" s="54" t="s">
        <v>234</v>
      </c>
      <c r="E163" s="55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 ht="21.0" customHeight="1">
      <c r="A164" s="52" t="str">
        <f>HYPERLINK("https://www.humblebundle.com/store/glittermitten-grove?partner=seriouslyclara","Glittermitten Grove")</f>
        <v>Glittermitten Grove</v>
      </c>
      <c r="B164" s="53">
        <v>2016.0</v>
      </c>
      <c r="C164" s="53" t="s">
        <v>123</v>
      </c>
      <c r="D164" s="54" t="s">
        <v>235</v>
      </c>
      <c r="E164" s="55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 ht="21.0" customHeight="1">
      <c r="A165" s="52" t="str">
        <f>HYPERLINK("https://www.humblebundle.com/store/gnog?partner=seriouslyclara","GNOG")</f>
        <v>GNOG</v>
      </c>
      <c r="B165" s="53">
        <v>2018.0</v>
      </c>
      <c r="C165" s="53" t="s">
        <v>123</v>
      </c>
      <c r="D165" s="54" t="s">
        <v>236</v>
      </c>
      <c r="E165" s="5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 ht="21.0" customHeight="1">
      <c r="A166" s="52" t="str">
        <f>HYPERLINK("https://www.humblebundle.com/store/goat-simulator?partner=seriouslyclara","Goat Simulator")</f>
        <v>Goat Simulator</v>
      </c>
      <c r="B166" s="53">
        <v>2014.0</v>
      </c>
      <c r="C166" s="53" t="s">
        <v>123</v>
      </c>
      <c r="D166" s="57"/>
      <c r="E166" s="55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 ht="21.0" customHeight="1">
      <c r="A167" s="52" t="str">
        <f>HYPERLINK("https://store.steampowered.com/app/575970/Golem_Gates/","Golem Gates")</f>
        <v>Golem Gates</v>
      </c>
      <c r="B167" s="53">
        <v>2018.0</v>
      </c>
      <c r="C167" s="53" t="s">
        <v>123</v>
      </c>
      <c r="D167" s="54" t="s">
        <v>237</v>
      </c>
      <c r="E167" s="55" t="s">
        <v>126</v>
      </c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 ht="21.0" customHeight="1">
      <c r="A168" s="52" t="str">
        <f>HYPERLINK("https://www.humblebundle.com/store/gone-home?partner=seriouslyclara","Gone Home")</f>
        <v>Gone Home</v>
      </c>
      <c r="B168" s="53">
        <v>2013.0</v>
      </c>
      <c r="C168" s="53" t="s">
        <v>123</v>
      </c>
      <c r="D168" s="54" t="s">
        <v>238</v>
      </c>
      <c r="E168" s="55" t="s">
        <v>126</v>
      </c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 ht="21.0" customHeight="1">
      <c r="A169" s="52" t="str">
        <f>HYPERLINK("https://www.humblebundle.com/store/gonner?partner=seriouslyclara","GoNNER")</f>
        <v>GoNNER</v>
      </c>
      <c r="B169" s="53">
        <v>2016.0</v>
      </c>
      <c r="C169" s="53" t="s">
        <v>123</v>
      </c>
      <c r="D169" s="54" t="s">
        <v>239</v>
      </c>
      <c r="E169" s="55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 ht="21.0" customHeight="1">
      <c r="A170" s="52" t="str">
        <f>HYPERLINK("https://store.steampowered.com/app/557600/Gorogoa/","Gorogoa")</f>
        <v>Gorogoa</v>
      </c>
      <c r="B170" s="53">
        <v>2017.0</v>
      </c>
      <c r="C170" s="53" t="s">
        <v>123</v>
      </c>
      <c r="D170" s="54" t="s">
        <v>240</v>
      </c>
      <c r="E170" s="55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 ht="21.0" customHeight="1">
      <c r="A171" s="52" t="str">
        <f>HYPERLINK("https://www.humblebundle.com/store/graveyard-keeper?partner=seriouslyclara","Graveyard Keeper")</f>
        <v>Graveyard Keeper</v>
      </c>
      <c r="B171" s="53">
        <v>2018.0</v>
      </c>
      <c r="C171" s="53" t="s">
        <v>123</v>
      </c>
      <c r="D171" s="54" t="s">
        <v>241</v>
      </c>
      <c r="E171" s="55" t="s">
        <v>126</v>
      </c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 ht="21.0" customHeight="1">
      <c r="A172" s="52" t="str">
        <f>HYPERLINK("https://store.steampowered.com/app/251490/Gravity_Ghost/","Gravity Ghost")</f>
        <v>Gravity Ghost</v>
      </c>
      <c r="B172" s="53">
        <v>2015.0</v>
      </c>
      <c r="C172" s="53" t="s">
        <v>123</v>
      </c>
      <c r="D172" s="54" t="s">
        <v>242</v>
      </c>
      <c r="E172" s="57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 ht="21.0" customHeight="1">
      <c r="A173" s="52" t="str">
        <f>HYPERLINK("https://www.humblebundle.com/store/gremlins-inc?partner=seriouslyclara","Gremlins, Inc.")</f>
        <v>Gremlins, Inc.</v>
      </c>
      <c r="B173" s="53">
        <v>2016.0</v>
      </c>
      <c r="C173" s="53" t="s">
        <v>123</v>
      </c>
      <c r="D173" s="57"/>
      <c r="E173" s="55" t="s">
        <v>126</v>
      </c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 ht="21.0" customHeight="1">
      <c r="A174" s="52" t="str">
        <f>HYPERLINK("https://www.humblebundle.com/store/gris?partner=seriouslyclara","GRIS")</f>
        <v>GRIS</v>
      </c>
      <c r="B174" s="53">
        <v>2018.0</v>
      </c>
      <c r="C174" s="53" t="s">
        <v>123</v>
      </c>
      <c r="D174" s="54" t="s">
        <v>243</v>
      </c>
      <c r="E174" s="5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 ht="21.0" customHeight="1">
      <c r="A175" s="52" t="str">
        <f>HYPERLINK("https://www.humblebundle.com/store/grow-home?partner=seriouslyclara","Grow Home")</f>
        <v>Grow Home</v>
      </c>
      <c r="B175" s="53">
        <v>2015.0</v>
      </c>
      <c r="C175" s="53" t="s">
        <v>123</v>
      </c>
      <c r="D175" s="57"/>
      <c r="E175" s="55" t="s">
        <v>126</v>
      </c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ht="21.0" customHeight="1">
      <c r="A176" s="52" t="str">
        <f>HYPERLINK("https://www.humblebundle.com/store/grow-up?partner=seriouslyclara","Grow Up")</f>
        <v>Grow Up</v>
      </c>
      <c r="B176" s="53">
        <v>2016.0</v>
      </c>
      <c r="C176" s="53" t="s">
        <v>123</v>
      </c>
      <c r="D176" s="54" t="s">
        <v>244</v>
      </c>
      <c r="E176" s="55" t="s">
        <v>126</v>
      </c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 ht="21.0" customHeight="1">
      <c r="A177" s="52" t="str">
        <f>HYPERLINK("https://www.humblebundle.com/store/guild-of-dungeoneering?partner=seriouslyclara","Guild of Dungeoneering")</f>
        <v>Guild of Dungeoneering</v>
      </c>
      <c r="B177" s="53">
        <v>2015.0</v>
      </c>
      <c r="C177" s="53" t="s">
        <v>123</v>
      </c>
      <c r="D177" s="54" t="s">
        <v>245</v>
      </c>
      <c r="E177" s="55" t="s">
        <v>126</v>
      </c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 ht="21.0" customHeight="1">
      <c r="A178" s="52" t="str">
        <f>HYPERLINK("https://www.guildwars2.com/","Guild Wars 2")</f>
        <v>Guild Wars 2</v>
      </c>
      <c r="B178" s="53"/>
      <c r="C178" s="53" t="s">
        <v>123</v>
      </c>
      <c r="D178" s="57"/>
      <c r="E178" s="55" t="s">
        <v>126</v>
      </c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 ht="21.0" customHeight="1">
      <c r="A179" s="52" t="str">
        <f>HYPERLINK("https://www.humblebundle.com/store/gunpoint?partner=seriouslyclara","Gunpoint")</f>
        <v>Gunpoint</v>
      </c>
      <c r="B179" s="53">
        <v>2013.0</v>
      </c>
      <c r="C179" s="53" t="s">
        <v>123</v>
      </c>
      <c r="D179" s="54" t="s">
        <v>246</v>
      </c>
      <c r="E179" s="55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 ht="21.0" customHeight="1">
      <c r="A180" s="52" t="str">
        <f>HYPERLINK("https://www.humblebundle.com/store/hand-of-fate?partner=seriouslyclara","Hand of Fate")</f>
        <v>Hand of Fate</v>
      </c>
      <c r="B180" s="53">
        <v>2015.0</v>
      </c>
      <c r="C180" s="53" t="s">
        <v>123</v>
      </c>
      <c r="D180" s="57"/>
      <c r="E180" s="55" t="s">
        <v>126</v>
      </c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 ht="21.0" customHeight="1">
      <c r="A181" s="55" t="s">
        <v>247</v>
      </c>
      <c r="B181" s="53"/>
      <c r="C181" s="53" t="s">
        <v>176</v>
      </c>
      <c r="D181" s="57"/>
      <c r="E181" s="55" t="s">
        <v>126</v>
      </c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 ht="21.0" customHeight="1">
      <c r="A182" s="52" t="str">
        <f>HYPERLINK("https://www.humblebundle.com/store/hatoful-boyfriend?partner=seriouslyclara","Hatoful Boyfriend")</f>
        <v>Hatoful Boyfriend</v>
      </c>
      <c r="B182" s="53">
        <v>2014.0</v>
      </c>
      <c r="C182" s="53" t="s">
        <v>123</v>
      </c>
      <c r="D182" s="57"/>
      <c r="E182" s="55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 ht="21.0" customHeight="1">
      <c r="A183" s="52" t="str">
        <f>HYPERLINK("https://www.humblebundle.com/store/hatoful-boyfriend-holiday-star?partner=seriouslyclara","Hatoful Boyfriend: Holiday Star")</f>
        <v>Hatoful Boyfriend: Holiday Star</v>
      </c>
      <c r="B183" s="53">
        <v>2015.0</v>
      </c>
      <c r="C183" s="53" t="s">
        <v>123</v>
      </c>
      <c r="D183" s="57"/>
      <c r="E183" s="57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 ht="21.0" customHeight="1">
      <c r="A184" s="52" t="str">
        <f>HYPERLINK("https://www.humblebundle.com/store/headlander?partner=seriouslyclara","Headlander")</f>
        <v>Headlander</v>
      </c>
      <c r="B184" s="53">
        <v>2016.0</v>
      </c>
      <c r="C184" s="53" t="s">
        <v>123</v>
      </c>
      <c r="D184" s="54" t="s">
        <v>248</v>
      </c>
      <c r="E184" s="55" t="s">
        <v>126</v>
      </c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 ht="21.0" customHeight="1">
      <c r="A185" s="52" t="str">
        <f>HYPERLINK("https://www.humblebundle.com/store/her-story?partner=seriouslyclara","Her Story")</f>
        <v>Her Story</v>
      </c>
      <c r="B185" s="53">
        <v>2015.0</v>
      </c>
      <c r="C185" s="53" t="s">
        <v>123</v>
      </c>
      <c r="D185" s="54" t="s">
        <v>249</v>
      </c>
      <c r="E185" s="55" t="s">
        <v>126</v>
      </c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 ht="21.0" customHeight="1">
      <c r="A186" s="52" t="str">
        <f>HYPERLINK("https://store.steampowered.com/app/435400/Hidden_Folks/","Hidden Folks")</f>
        <v>Hidden Folks</v>
      </c>
      <c r="B186" s="53">
        <v>2017.0</v>
      </c>
      <c r="C186" s="53" t="s">
        <v>123</v>
      </c>
      <c r="D186" s="57"/>
      <c r="E186" s="57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 ht="21.0" customHeight="1">
      <c r="A187" s="52" t="str">
        <f>HYPERLINK("https://www.humblebundle.com/store/hob?partner=seriouslyclara","Hob")</f>
        <v>Hob</v>
      </c>
      <c r="B187" s="53">
        <v>2017.0</v>
      </c>
      <c r="C187" s="53" t="s">
        <v>123</v>
      </c>
      <c r="D187" s="54" t="s">
        <v>250</v>
      </c>
      <c r="E187" s="55" t="s">
        <v>126</v>
      </c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 ht="21.0" customHeight="1">
      <c r="A188" s="52" t="str">
        <f>HYPERLINK("https://www.humblebundle.com/store/hollow-knight?partner=seriouslyclara","Hollow Knight")</f>
        <v>Hollow Knight</v>
      </c>
      <c r="B188" s="53">
        <v>2017.0</v>
      </c>
      <c r="C188" s="53" t="s">
        <v>123</v>
      </c>
      <c r="D188" s="54" t="s">
        <v>251</v>
      </c>
      <c r="E188" s="55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 ht="21.0" customHeight="1">
      <c r="A189" s="52" t="str">
        <f>HYPERLINK("https://store.steampowered.com/app/830590/Holy_Potatoes_A_Spy_Story/","Holy Potatoes! A Spy Story?!")</f>
        <v>Holy Potatoes! A Spy Story?!</v>
      </c>
      <c r="B189" s="53">
        <v>2018.0</v>
      </c>
      <c r="C189" s="53" t="s">
        <v>123</v>
      </c>
      <c r="D189" s="54" t="s">
        <v>252</v>
      </c>
      <c r="E189" s="55" t="s">
        <v>126</v>
      </c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 ht="21.0" customHeight="1">
      <c r="A190" s="52" t="str">
        <f>HYPERLINK("https://www.humblebundle.com/store/holy-potatoes-a-weapon-shop?partner=seriouslyclara","Holy Potatoes! A Weapon Shop?!")</f>
        <v>Holy Potatoes! A Weapon Shop?!</v>
      </c>
      <c r="B190" s="53">
        <v>2015.0</v>
      </c>
      <c r="C190" s="53" t="s">
        <v>123</v>
      </c>
      <c r="D190" s="54" t="s">
        <v>253</v>
      </c>
      <c r="E190" s="55" t="s">
        <v>126</v>
      </c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 ht="21.0" customHeight="1">
      <c r="A191" s="52" t="str">
        <f>HYPERLINK("https://www.humblebundle.com/store/holy-potatoes-what-the-hell?partner=seriouslyclara","Holy Potatoes! What the Hell?!")</f>
        <v>Holy Potatoes! What the Hell?!</v>
      </c>
      <c r="B191" s="53">
        <v>2017.0</v>
      </c>
      <c r="C191" s="53" t="s">
        <v>123</v>
      </c>
      <c r="D191" s="54" t="s">
        <v>254</v>
      </c>
      <c r="E191" s="55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 ht="21.0" customHeight="1">
      <c r="A192" s="52" t="str">
        <f>HYPERLINK("https://www.humblebundle.com/store/home-is-where-one-starts?partner=seriouslyclara","Home is Where One Starts...")</f>
        <v>Home is Where One Starts...</v>
      </c>
      <c r="B192" s="53">
        <v>2015.0</v>
      </c>
      <c r="C192" s="53" t="s">
        <v>123</v>
      </c>
      <c r="D192" s="54" t="s">
        <v>255</v>
      </c>
      <c r="E192" s="57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 ht="21.0" customHeight="1">
      <c r="A193" s="55" t="s">
        <v>256</v>
      </c>
      <c r="B193" s="53"/>
      <c r="C193" s="53" t="s">
        <v>123</v>
      </c>
      <c r="D193" s="55"/>
      <c r="E193" s="57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 ht="21.0" customHeight="1">
      <c r="A194" s="52" t="str">
        <f>HYPERLINK("https://www.humblebundle.com/store/hotline-miami?partner=seriouslyclara","Hotline Miami")</f>
        <v>Hotline Miami</v>
      </c>
      <c r="B194" s="53">
        <v>2012.0</v>
      </c>
      <c r="C194" s="53" t="s">
        <v>123</v>
      </c>
      <c r="D194" s="54" t="s">
        <v>257</v>
      </c>
      <c r="E194" s="57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 ht="21.0" customHeight="1">
      <c r="A195" s="52" t="str">
        <f>HYPERLINK("https://www.humblebundle.com/store/hue?partner=seriouslyclara","Hue")</f>
        <v>Hue</v>
      </c>
      <c r="B195" s="53">
        <v>2016.0</v>
      </c>
      <c r="C195" s="53" t="s">
        <v>123</v>
      </c>
      <c r="D195" s="54" t="s">
        <v>258</v>
      </c>
      <c r="E195" s="55" t="s">
        <v>126</v>
      </c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 ht="21.0" customHeight="1">
      <c r="A196" s="52" t="str">
        <f>HYPERLINK("https://www.humblebundle.com/store/human-fall-flat?partner=seriouslyclara","Human: Fall Flat")</f>
        <v>Human: Fall Flat</v>
      </c>
      <c r="B196" s="53">
        <v>2016.0</v>
      </c>
      <c r="C196" s="53" t="s">
        <v>123</v>
      </c>
      <c r="D196" s="54" t="s">
        <v>259</v>
      </c>
      <c r="E196" s="55" t="s">
        <v>126</v>
      </c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 ht="21.0" customHeight="1">
      <c r="A197" s="52" t="str">
        <f>HYPERLINK("https://www.humblebundle.com/store/hyper-light-drifter?partner=seriouslyclara","Hyper Light Drifter")</f>
        <v>Hyper Light Drifter</v>
      </c>
      <c r="B197" s="53">
        <v>2016.0</v>
      </c>
      <c r="C197" s="53" t="s">
        <v>123</v>
      </c>
      <c r="D197" s="54" t="s">
        <v>260</v>
      </c>
      <c r="E197" s="55" t="s">
        <v>126</v>
      </c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 ht="21.0" customHeight="1">
      <c r="A198" s="55" t="s">
        <v>261</v>
      </c>
      <c r="B198" s="53"/>
      <c r="C198" s="53" t="s">
        <v>142</v>
      </c>
      <c r="D198" s="57"/>
      <c r="E198" s="57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 ht="21.0" customHeight="1">
      <c r="A199" s="52" t="str">
        <f>HYPERLINK("https://www.humblebundle.com/store/i-am-bread?partner=seriouslyclara","I am Bread")</f>
        <v>I am Bread</v>
      </c>
      <c r="B199" s="53">
        <v>2015.0</v>
      </c>
      <c r="C199" s="53" t="s">
        <v>123</v>
      </c>
      <c r="D199" s="57"/>
      <c r="E199" s="57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 ht="21.0" customHeight="1">
      <c r="A200" s="52" t="str">
        <f>HYPERLINK("https://www.humblebundle.com/store/i-hope?partner=seriouslyclara","I, Hope")</f>
        <v>I, Hope</v>
      </c>
      <c r="B200" s="53">
        <v>2018.0</v>
      </c>
      <c r="C200" s="53" t="s">
        <v>123</v>
      </c>
      <c r="D200" s="54" t="s">
        <v>262</v>
      </c>
      <c r="E200" s="57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 ht="21.0" customHeight="1">
      <c r="A201" s="52" t="str">
        <f>HYPERLINK("https://www.humblebundle.com/store/ibb-obb-double-pack?partner=seriouslyclara","ibb &amp; obb")</f>
        <v>ibb &amp; obb</v>
      </c>
      <c r="B201" s="53">
        <v>2014.0</v>
      </c>
      <c r="C201" s="53" t="s">
        <v>123</v>
      </c>
      <c r="D201" s="54" t="s">
        <v>263</v>
      </c>
      <c r="E201" s="55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 ht="21.0" customHeight="1">
      <c r="A202" s="52" t="str">
        <f>HYPERLINK("https://www.humblebundle.com/store/iconoclasts?partner=seriouslyclara","Iconoclasts")</f>
        <v>Iconoclasts</v>
      </c>
      <c r="B202" s="53">
        <v>2018.0</v>
      </c>
      <c r="C202" s="53" t="s">
        <v>123</v>
      </c>
      <c r="D202" s="54" t="s">
        <v>264</v>
      </c>
      <c r="E202" s="55" t="s">
        <v>126</v>
      </c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 ht="21.0" customHeight="1">
      <c r="A203" s="52" t="str">
        <f>HYPERLINK("https://www.humblebundle.com/store/inferno-climber?partner=seriouslyclara","INFERNO CLIMBER")</f>
        <v>INFERNO CLIMBER</v>
      </c>
      <c r="B203" s="53">
        <v>2016.0</v>
      </c>
      <c r="C203" s="53" t="s">
        <v>123</v>
      </c>
      <c r="D203" s="54" t="s">
        <v>265</v>
      </c>
      <c r="E203" s="55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 ht="21.0" customHeight="1">
      <c r="A204" s="52" t="str">
        <f>HYPERLINK("https://store.steampowered.com/app/690120/Inked/","Inked")</f>
        <v>Inked</v>
      </c>
      <c r="B204" s="53">
        <v>2018.0</v>
      </c>
      <c r="C204" s="53" t="s">
        <v>123</v>
      </c>
      <c r="D204" s="54" t="s">
        <v>266</v>
      </c>
      <c r="E204" s="55" t="s">
        <v>126</v>
      </c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 ht="21.0" customHeight="1">
      <c r="A205" s="52" t="str">
        <f>HYPERLINK("https://www.humblebundle.com/store/interstellaria?partner=seriouslyclara","Interstellaria")</f>
        <v>Interstellaria</v>
      </c>
      <c r="B205" s="53">
        <v>2015.0</v>
      </c>
      <c r="C205" s="53" t="s">
        <v>123</v>
      </c>
      <c r="D205" s="57"/>
      <c r="E205" s="55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 ht="21.0" customHeight="1">
      <c r="A206" s="52" t="str">
        <f>HYPERLINK("https://www.humblebundle.com/store/into-the-breach?partner=seriouslyclara","Into the Breach")</f>
        <v>Into the Breach</v>
      </c>
      <c r="B206" s="53">
        <v>2018.0</v>
      </c>
      <c r="C206" s="53" t="s">
        <v>123</v>
      </c>
      <c r="D206" s="54" t="s">
        <v>267</v>
      </c>
      <c r="E206" s="55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 ht="21.0" customHeight="1">
      <c r="A207" s="52" t="str">
        <f>HYPERLINK("https://www.humblebundle.com/store/invisible-inc?partner=seriouslyclara","Invisible, Inc.")</f>
        <v>Invisible, Inc.</v>
      </c>
      <c r="B207" s="53">
        <v>2015.0</v>
      </c>
      <c r="C207" s="53" t="s">
        <v>123</v>
      </c>
      <c r="D207" s="57"/>
      <c r="E207" s="55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 ht="21.0" customHeight="1">
      <c r="A208" s="52" t="str">
        <f>HYPERLINK("https://store.steampowered.com/app/907470/IrisFall/","Iris.Fall")</f>
        <v>Iris.Fall</v>
      </c>
      <c r="B208" s="53">
        <v>2018.0</v>
      </c>
      <c r="C208" s="53" t="s">
        <v>123</v>
      </c>
      <c r="D208" s="54" t="s">
        <v>268</v>
      </c>
      <c r="E208" s="55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 ht="21.0" customHeight="1">
      <c r="A209" s="52" t="str">
        <f>HYPERLINK("https://www.humblebundle.com/store/jotun?partner=seriouslyclara","Jotun")</f>
        <v>Jotun</v>
      </c>
      <c r="B209" s="53">
        <v>2015.0</v>
      </c>
      <c r="C209" s="53" t="s">
        <v>123</v>
      </c>
      <c r="D209" s="54" t="s">
        <v>269</v>
      </c>
      <c r="E209" s="55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 ht="21.0" customHeight="1">
      <c r="A210" s="52" t="str">
        <f>HYPERLINK("https://www.humblebundle.com/store/karma-incarnation-1?partner=seriouslyclara","Karma. Incarnation 1")</f>
        <v>Karma. Incarnation 1</v>
      </c>
      <c r="B210" s="53">
        <v>2016.0</v>
      </c>
      <c r="C210" s="53" t="s">
        <v>123</v>
      </c>
      <c r="D210" s="57"/>
      <c r="E210" s="55" t="s">
        <v>126</v>
      </c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 ht="21.0" customHeight="1">
      <c r="A211" s="52" t="str">
        <f>HYPERLINK("https://www.humblebundle.com/store/keep-talking-and-nobody-explodes?partner=seriouslyclara","Keep Talking and Nobody Explodes")</f>
        <v>Keep Talking and Nobody Explodes</v>
      </c>
      <c r="B211" s="53">
        <v>2015.0</v>
      </c>
      <c r="C211" s="53" t="s">
        <v>123</v>
      </c>
      <c r="D211" s="57"/>
      <c r="E211" s="57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 ht="21.0" customHeight="1">
      <c r="A212" s="52" t="str">
        <f>HYPERLINK("https://www.humblebundle.com/store/kelvin-and-the-infamous-machine?partner=seriouslyclara","Kelvin and the Infamous Machine")</f>
        <v>Kelvin and the Infamous Machine</v>
      </c>
      <c r="B212" s="53">
        <v>2016.0</v>
      </c>
      <c r="C212" s="53" t="s">
        <v>123</v>
      </c>
      <c r="D212" s="54" t="s">
        <v>270</v>
      </c>
      <c r="E212" s="55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 ht="21.0" customHeight="1">
      <c r="A213" s="52" t="str">
        <f>HYPERLINK("https://www.humblebundle.com/store/ken-folletts-the-pillars-of-the-earth?partner=seriouslyclara","Ken Follett's The Pillars of the Earth")</f>
        <v>Ken Follett's The Pillars of the Earth</v>
      </c>
      <c r="B213" s="53">
        <v>2017.0</v>
      </c>
      <c r="C213" s="53" t="s">
        <v>123</v>
      </c>
      <c r="D213" s="54" t="s">
        <v>271</v>
      </c>
      <c r="E213" s="55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 ht="21.0" customHeight="1">
      <c r="A214" s="52" t="str">
        <f>HYPERLINK("https://www.humblebundle.com/store/kholat?partner=seriouslyclara","Kholat")</f>
        <v>Kholat</v>
      </c>
      <c r="B214" s="53">
        <v>2015.0</v>
      </c>
      <c r="C214" s="53" t="s">
        <v>123</v>
      </c>
      <c r="D214" s="54" t="s">
        <v>272</v>
      </c>
      <c r="E214" s="55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 ht="21.0" customHeight="1">
      <c r="A215" s="52" t="str">
        <f>HYPERLINK("https://store.steampowered.com/app/589590/Kindergarten/","Kindergarten")</f>
        <v>Kindergarten</v>
      </c>
      <c r="B215" s="53">
        <v>2017.0</v>
      </c>
      <c r="C215" s="53" t="s">
        <v>123</v>
      </c>
      <c r="D215" s="54" t="s">
        <v>273</v>
      </c>
      <c r="E215" s="55" t="s">
        <v>126</v>
      </c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 ht="21.0" customHeight="1">
      <c r="A216" s="52" t="str">
        <f>HYPERLINK("https://discordapp.com/store/skus/486981988109254667/king-of-the-hat","King of the Hat")</f>
        <v>King of the Hat</v>
      </c>
      <c r="B216" s="53">
        <v>2018.0</v>
      </c>
      <c r="C216" s="53" t="s">
        <v>123</v>
      </c>
      <c r="D216" s="54" t="s">
        <v>274</v>
      </c>
      <c r="E216" s="55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 ht="21.0" customHeight="1">
      <c r="A217" s="52" t="str">
        <f>HYPERLINK("https://www.humblebundle.com/store/kingdom-two-crowns?partner=seriouslyclara","Kingdom Two Crowns")</f>
        <v>Kingdom Two Crowns</v>
      </c>
      <c r="B217" s="53">
        <v>2018.0</v>
      </c>
      <c r="C217" s="53" t="s">
        <v>123</v>
      </c>
      <c r="D217" s="54" t="s">
        <v>275</v>
      </c>
      <c r="E217" s="55" t="s">
        <v>126</v>
      </c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 ht="21.0" customHeight="1">
      <c r="A218" s="52" t="str">
        <f>HYPERLINK("https://www.humblebundle.com/store/kingdom-classic?partner=seriouslyclara","Kingdom: Classic")</f>
        <v>Kingdom: Classic</v>
      </c>
      <c r="B218" s="53">
        <v>2015.0</v>
      </c>
      <c r="C218" s="53" t="s">
        <v>123</v>
      </c>
      <c r="D218" s="54" t="s">
        <v>276</v>
      </c>
      <c r="E218" s="55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 ht="21.0" customHeight="1">
      <c r="A219" s="52" t="str">
        <f>HYPERLINK("https://www.humblebundle.com/store/kingdom-new-lands?partner=seriouslyclara","Kingdom: News Lands")</f>
        <v>Kingdom: News Lands</v>
      </c>
      <c r="B219" s="53">
        <v>2016.0</v>
      </c>
      <c r="C219" s="53" t="s">
        <v>123</v>
      </c>
      <c r="D219" s="54" t="s">
        <v>276</v>
      </c>
      <c r="E219" s="55" t="s">
        <v>126</v>
      </c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 ht="21.0" customHeight="1">
      <c r="A220" s="52" t="str">
        <f>HYPERLINK("https://store.steampowered.com/app/569480/Kingdoms_and_Castles/","Kingdoms and Castles")</f>
        <v>Kingdoms and Castles</v>
      </c>
      <c r="B220" s="53">
        <v>2017.0</v>
      </c>
      <c r="C220" s="53" t="s">
        <v>123</v>
      </c>
      <c r="D220" s="57"/>
      <c r="E220" s="57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 ht="21.0" customHeight="1">
      <c r="A221" s="52" t="str">
        <f>HYPERLINK("https://www.humblebundle.com/store/kingsway?partner=seriouslyclara","Kingsway")</f>
        <v>Kingsway</v>
      </c>
      <c r="B221" s="53">
        <v>2017.0</v>
      </c>
      <c r="C221" s="53" t="s">
        <v>123</v>
      </c>
      <c r="D221" s="54" t="s">
        <v>277</v>
      </c>
      <c r="E221" s="55" t="s">
        <v>126</v>
      </c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 ht="21.0" customHeight="1">
      <c r="A222" s="55" t="s">
        <v>278</v>
      </c>
      <c r="B222" s="53"/>
      <c r="C222" s="53" t="s">
        <v>176</v>
      </c>
      <c r="D222" s="57"/>
      <c r="E222" s="55" t="s">
        <v>126</v>
      </c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 ht="21.0" customHeight="1">
      <c r="A223" s="52" t="str">
        <f>HYPERLINK("https://www.humblebundle.com/store/klang?partner=seriouslyclara","Klang")</f>
        <v>Klang</v>
      </c>
      <c r="B223" s="53">
        <v>2016.0</v>
      </c>
      <c r="C223" s="53" t="s">
        <v>123</v>
      </c>
      <c r="D223" s="54" t="s">
        <v>279</v>
      </c>
      <c r="E223" s="55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 ht="21.0" customHeight="1">
      <c r="A224" s="52" t="str">
        <f>HYPERLINK("https://www.humblebundle.com/store/last-day-of-june?partner=seriouslyclara","Last Day of June")</f>
        <v>Last Day of June</v>
      </c>
      <c r="B224" s="53">
        <v>2017.0</v>
      </c>
      <c r="C224" s="53" t="s">
        <v>123</v>
      </c>
      <c r="D224" s="54" t="s">
        <v>280</v>
      </c>
      <c r="E224" s="57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 ht="21.0" customHeight="1">
      <c r="A225" s="52" t="str">
        <f>HYPERLINK("https://www.humblebundle.com/store/late-shift?partner=seriouslyclara","Late Shift")</f>
        <v>Late Shift</v>
      </c>
      <c r="B225" s="53">
        <v>2017.0</v>
      </c>
      <c r="C225" s="53" t="s">
        <v>123</v>
      </c>
      <c r="D225" s="57"/>
      <c r="E225" s="55" t="s">
        <v>126</v>
      </c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 ht="21.0" customHeight="1">
      <c r="A226" s="52" t="str">
        <f>HYPERLINK("https://www.humblebundle.com/store/layers-of-fear?partner=seriouslyclara","Layers of Fear")</f>
        <v>Layers of Fear</v>
      </c>
      <c r="B226" s="53">
        <v>2016.0</v>
      </c>
      <c r="C226" s="53" t="s">
        <v>123</v>
      </c>
      <c r="D226" s="54" t="s">
        <v>281</v>
      </c>
      <c r="E226" s="57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 ht="21.0" customHeight="1">
      <c r="A227" s="52" t="str">
        <f>HYPERLINK("https://www.humblebundle.com/store/legend-of-dungeon?partner=seriouslyclara","Legend of Dungeon")</f>
        <v>Legend of Dungeon</v>
      </c>
      <c r="B227" s="53">
        <v>2013.0</v>
      </c>
      <c r="C227" s="53" t="s">
        <v>123</v>
      </c>
      <c r="D227" s="57"/>
      <c r="E227" s="57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 ht="21.0" customHeight="1">
      <c r="A228" s="55" t="s">
        <v>282</v>
      </c>
      <c r="B228" s="53"/>
      <c r="C228" s="53" t="s">
        <v>171</v>
      </c>
      <c r="D228" s="57"/>
      <c r="E228" s="57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 ht="21.0" customHeight="1">
      <c r="A229" s="52" t="str">
        <f>HYPERLINK("https://store.steampowered.com/app/688070/Legendary_Gary/","Legendary Gary")</f>
        <v>Legendary Gary</v>
      </c>
      <c r="B229" s="53">
        <v>2018.0</v>
      </c>
      <c r="C229" s="53" t="s">
        <v>123</v>
      </c>
      <c r="D229" s="54" t="s">
        <v>283</v>
      </c>
      <c r="E229" s="57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 ht="21.0" customHeight="1">
      <c r="A230" s="52" t="str">
        <f>HYPERLINK("https://www.humblebundle.com/store/let-them-come?partner=seriouslyclara","Let Them Come")</f>
        <v>Let Them Come</v>
      </c>
      <c r="B230" s="53">
        <v>2017.0</v>
      </c>
      <c r="C230" s="53" t="s">
        <v>123</v>
      </c>
      <c r="D230" s="54" t="s">
        <v>284</v>
      </c>
      <c r="E230" s="57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 ht="21.0" customHeight="1">
      <c r="A231" s="52" t="str">
        <f>HYPERLINK("https://www.humblebundle.com/store/lieat?partner=seriouslyclara","LiEat")</f>
        <v>LiEat</v>
      </c>
      <c r="B231" s="53">
        <v>2016.0</v>
      </c>
      <c r="C231" s="53" t="s">
        <v>123</v>
      </c>
      <c r="D231" s="54" t="s">
        <v>285</v>
      </c>
      <c r="E231" s="57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 ht="21.0" customHeight="1">
      <c r="A232" s="52" t="str">
        <f>HYPERLINK("https://vltmn.itch.io/lieve-oma","Lieve Oma")</f>
        <v>Lieve Oma</v>
      </c>
      <c r="B232" s="53">
        <v>2016.0</v>
      </c>
      <c r="C232" s="53" t="s">
        <v>123</v>
      </c>
      <c r="D232" s="54" t="s">
        <v>286</v>
      </c>
      <c r="E232" s="57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 ht="21.0" customHeight="1">
      <c r="A233" s="52" t="str">
        <f>HYPERLINK("https://www.humblebundle.com/store/life-is-strange-complete-season?partner=seriouslyclara","Life is Strange")</f>
        <v>Life is Strange</v>
      </c>
      <c r="B233" s="53">
        <v>2015.0</v>
      </c>
      <c r="C233" s="53" t="s">
        <v>123</v>
      </c>
      <c r="D233" s="57"/>
      <c r="E233" s="55" t="s">
        <v>126</v>
      </c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 ht="21.0" customHeight="1">
      <c r="A234" s="52" t="str">
        <f>HYPERLINK("https://www.humblebundle.com/store/light-fall?partner=seriouslyclara","Light Fall")</f>
        <v>Light Fall</v>
      </c>
      <c r="B234" s="53">
        <v>2018.0</v>
      </c>
      <c r="C234" s="53" t="s">
        <v>123</v>
      </c>
      <c r="D234" s="54" t="s">
        <v>287</v>
      </c>
      <c r="E234" s="55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 ht="21.0" customHeight="1">
      <c r="A235" s="52" t="str">
        <f>HYPERLINK("https://www.humblebundle.com/store/limbo?partner=seriouslyclara","LIMBO")</f>
        <v>LIMBO</v>
      </c>
      <c r="B235" s="53">
        <v>2011.0</v>
      </c>
      <c r="C235" s="53" t="s">
        <v>123</v>
      </c>
      <c r="D235" s="57"/>
      <c r="E235" s="55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 ht="21.0" customHeight="1">
      <c r="A236" s="52" t="str">
        <f>HYPERLINK("https://store.steampowered.com/app/335670/LISA/","LISA")</f>
        <v>LISA</v>
      </c>
      <c r="B236" s="53">
        <v>2014.0</v>
      </c>
      <c r="C236" s="53" t="s">
        <v>123</v>
      </c>
      <c r="D236" s="57"/>
      <c r="E236" s="55" t="s">
        <v>126</v>
      </c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 ht="21.0" customHeight="1">
      <c r="A237" s="52" t="str">
        <f>HYPERLINK("https://store.steampowered.com/app/555290/Little_Briar_Rose/","Little Briar Rose")</f>
        <v>Little Briar Rose</v>
      </c>
      <c r="B237" s="53">
        <v>2016.0</v>
      </c>
      <c r="C237" s="53" t="s">
        <v>123</v>
      </c>
      <c r="D237" s="54" t="s">
        <v>288</v>
      </c>
      <c r="E237" s="57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 ht="21.0" customHeight="1">
      <c r="A238" s="52" t="str">
        <f>HYPERLINK("https://www.humblebundle.com/store/little-inferno?partner=seriouslyclara","Little Inferno")</f>
        <v>Little Inferno</v>
      </c>
      <c r="B238" s="53">
        <v>2012.0</v>
      </c>
      <c r="C238" s="53" t="s">
        <v>123</v>
      </c>
      <c r="D238" s="57"/>
      <c r="E238" s="57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 ht="21.0" customHeight="1">
      <c r="A239" s="52" t="str">
        <f>HYPERLINK("https://www.humblebundle.com/store/little-nightmares?partner=seriouslyclara","Little Nightmares")</f>
        <v>Little Nightmares</v>
      </c>
      <c r="B239" s="53">
        <v>2017.0</v>
      </c>
      <c r="C239" s="53" t="s">
        <v>123</v>
      </c>
      <c r="D239" s="54" t="s">
        <v>289</v>
      </c>
      <c r="E239" s="55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 ht="21.0" customHeight="1">
      <c r="A240" s="52" t="str">
        <f>HYPERLINK("https://turnfollow.itch.io/littleparty","Little Party")</f>
        <v>Little Party</v>
      </c>
      <c r="B240" s="53">
        <v>2015.0</v>
      </c>
      <c r="C240" s="53" t="s">
        <v>123</v>
      </c>
      <c r="D240" s="54" t="s">
        <v>290</v>
      </c>
      <c r="E240" s="55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 ht="21.0" customHeight="1">
      <c r="A241" s="52" t="str">
        <f>HYPERLINK("https://www.humblebundle.com/store/lost-sea?partner=seriouslyclara","Lost Sea")</f>
        <v>Lost Sea</v>
      </c>
      <c r="B241" s="53">
        <v>2016.0</v>
      </c>
      <c r="C241" s="53" t="s">
        <v>123</v>
      </c>
      <c r="D241" s="57"/>
      <c r="E241" s="55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 ht="21.0" customHeight="1">
      <c r="A242" s="52" t="str">
        <f>HYPERLINK("https://www.humblebundle.com/store/lostwinds?partner=seriouslyclara","LostWinds")</f>
        <v>LostWinds</v>
      </c>
      <c r="B242" s="53">
        <v>2016.0</v>
      </c>
      <c r="C242" s="53" t="s">
        <v>123</v>
      </c>
      <c r="D242" s="54" t="s">
        <v>291</v>
      </c>
      <c r="E242" s="55" t="s">
        <v>126</v>
      </c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 ht="21.0" customHeight="1">
      <c r="A243" s="52" t="str">
        <f>HYPERLINK("https://www.humblebundle.com/store/lostwinds-2-winter-of-the-melodias?partner=seriouslyclara","LostWinds 2: Winter of the Melodias")</f>
        <v>LostWinds 2: Winter of the Melodias</v>
      </c>
      <c r="B243" s="53">
        <v>2016.0</v>
      </c>
      <c r="C243" s="53" t="s">
        <v>123</v>
      </c>
      <c r="D243" s="54" t="s">
        <v>292</v>
      </c>
      <c r="E243" s="55" t="s">
        <v>126</v>
      </c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 ht="21.0" customHeight="1">
      <c r="A244" s="52" t="str">
        <f>HYPERLINK("https://www.humblebundle.com/store/lovers-in-a-dangerous-spacetime?partner=seriouslyclara","Lovers in a Dangerous Spacetime")</f>
        <v>Lovers in a Dangerous Spacetime</v>
      </c>
      <c r="B244" s="53">
        <v>2015.0</v>
      </c>
      <c r="C244" s="53" t="s">
        <v>123</v>
      </c>
      <c r="D244" s="54" t="s">
        <v>293</v>
      </c>
      <c r="E244" s="55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 ht="21.0" customHeight="1">
      <c r="A245" s="52" t="str">
        <f>HYPERLINK("https://store.steampowered.com/app/896460/Lucah_Born_of_a_Dream/","Lucah: Born of a Dream")</f>
        <v>Lucah: Born of a Dream</v>
      </c>
      <c r="B245" s="53">
        <v>2018.0</v>
      </c>
      <c r="C245" s="53" t="s">
        <v>123</v>
      </c>
      <c r="D245" s="54" t="s">
        <v>294</v>
      </c>
      <c r="E245" s="55" t="s">
        <v>126</v>
      </c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 ht="21.0" customHeight="1">
      <c r="A246" s="52" t="str">
        <f>HYPERLINK("https://www.humblebundle.com/store/luckslinger?partner=seriouslyclara","Luckslinger")</f>
        <v>Luckslinger</v>
      </c>
      <c r="B246" s="53">
        <v>2015.0</v>
      </c>
      <c r="C246" s="53" t="s">
        <v>123</v>
      </c>
      <c r="D246" s="57"/>
      <c r="E246" s="57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 ht="21.0" customHeight="1">
      <c r="A247" s="52" t="str">
        <f>HYPERLINK("https://store.steampowered.com/app/483980/Mad_Father/","Mad Father")</f>
        <v>Mad Father</v>
      </c>
      <c r="B247" s="53">
        <v>2016.0</v>
      </c>
      <c r="C247" s="53" t="s">
        <v>123</v>
      </c>
      <c r="D247" s="54" t="s">
        <v>295</v>
      </c>
      <c r="E247" s="55" t="s">
        <v>126</v>
      </c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 ht="21.0" customHeight="1">
      <c r="A248" s="52" t="str">
        <f>HYPERLINK("https://www.humblebundle.com/store/mages-of-mystralia?partner=seriouslyclara","Mages of Mystralia")</f>
        <v>Mages of Mystralia</v>
      </c>
      <c r="B248" s="53">
        <v>2017.0</v>
      </c>
      <c r="C248" s="53" t="s">
        <v>123</v>
      </c>
      <c r="D248" s="54" t="s">
        <v>296</v>
      </c>
      <c r="E248" s="55" t="s">
        <v>126</v>
      </c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 ht="21.0" customHeight="1">
      <c r="A249" s="52" t="str">
        <f>HYPERLINK("https://store.steampowered.com/app/213850/Magic_2014__Duels_of_the_Planeswalkers/","Magic 2014 — Duels of the Planeswalkers")</f>
        <v>Magic 2014 — Duels of the Planeswalkers</v>
      </c>
      <c r="B249" s="53"/>
      <c r="C249" s="53" t="s">
        <v>123</v>
      </c>
      <c r="D249" s="57"/>
      <c r="E249" s="55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 ht="21.0" customHeight="1">
      <c r="A250" s="52" t="str">
        <f>HYPERLINK("https://www.humblebundle.com/store/magicka-collection?partner=seriouslyclara","Magicka")</f>
        <v>Magicka</v>
      </c>
      <c r="B250" s="53">
        <v>2011.0</v>
      </c>
      <c r="C250" s="53" t="s">
        <v>123</v>
      </c>
      <c r="D250" s="57"/>
      <c r="E250" s="55" t="s">
        <v>126</v>
      </c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 ht="21.0" customHeight="1">
      <c r="A251" s="52" t="str">
        <f>HYPERLINK("https://www.humblebundle.com/store/manual-samuel?partner=seriouslyclara","Manual Samuel")</f>
        <v>Manual Samuel</v>
      </c>
      <c r="B251" s="53">
        <v>2016.0</v>
      </c>
      <c r="C251" s="53" t="s">
        <v>123</v>
      </c>
      <c r="D251" s="54" t="s">
        <v>297</v>
      </c>
      <c r="E251" s="55" t="s">
        <v>126</v>
      </c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 ht="21.0" customHeight="1">
      <c r="A252" s="55" t="s">
        <v>86</v>
      </c>
      <c r="B252" s="53"/>
      <c r="C252" s="53" t="s">
        <v>142</v>
      </c>
      <c r="D252" s="57"/>
      <c r="E252" s="55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 ht="21.0" customHeight="1">
      <c r="A253" s="55" t="s">
        <v>298</v>
      </c>
      <c r="B253" s="53"/>
      <c r="C253" s="53" t="s">
        <v>299</v>
      </c>
      <c r="D253" s="57"/>
      <c r="E253" s="55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 ht="21.0" customHeight="1">
      <c r="A254" s="55" t="s">
        <v>300</v>
      </c>
      <c r="B254" s="53"/>
      <c r="C254" s="53" t="s">
        <v>142</v>
      </c>
      <c r="D254" s="57"/>
      <c r="E254" s="55" t="s">
        <v>126</v>
      </c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 ht="21.0" customHeight="1">
      <c r="A255" s="52" t="str">
        <f>HYPERLINK("https://store.steampowered.com/app/860950/Mark_of_the_Ninja_Remastered/","Mark of the Ninja")</f>
        <v>Mark of the Ninja</v>
      </c>
      <c r="B255" s="53">
        <v>2012.0</v>
      </c>
      <c r="C255" s="53" t="s">
        <v>123</v>
      </c>
      <c r="D255" s="54" t="s">
        <v>301</v>
      </c>
      <c r="E255" s="55" t="s">
        <v>126</v>
      </c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 ht="21.0" customHeight="1">
      <c r="A256" s="52" t="str">
        <f>HYPERLINK("https://www.humblebundle.com/store/marooners?partner=seriouslyclara","Marooners")</f>
        <v>Marooners</v>
      </c>
      <c r="B256" s="53">
        <v>2016.0</v>
      </c>
      <c r="C256" s="53" t="s">
        <v>123</v>
      </c>
      <c r="D256" s="57"/>
      <c r="E256" s="55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 ht="21.0" customHeight="1">
      <c r="A257" s="52" t="str">
        <f>HYPERLINK("https://www.humblebundle.com/store/masquerada-songs-and-shadows?partner=seriouslyclara","Masquerada: Songs and Shadows")</f>
        <v>Masquerada: Songs and Shadows</v>
      </c>
      <c r="B257" s="53">
        <v>2016.0</v>
      </c>
      <c r="C257" s="53" t="s">
        <v>123</v>
      </c>
      <c r="D257" s="54" t="s">
        <v>302</v>
      </c>
      <c r="E257" s="55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 ht="21.0" customHeight="1">
      <c r="A258" s="52" t="str">
        <f>HYPERLINK("https://www.humblebundle.com/store/mega-coin-squad?partner=seriouslyclara","Mega Coin Squad")</f>
        <v>Mega Coin Squad</v>
      </c>
      <c r="B258" s="53">
        <v>2014.0</v>
      </c>
      <c r="C258" s="53" t="s">
        <v>123</v>
      </c>
      <c r="D258" s="57"/>
      <c r="E258" s="55" t="s">
        <v>126</v>
      </c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 ht="21.0" customHeight="1">
      <c r="A259" s="55" t="s">
        <v>303</v>
      </c>
      <c r="B259" s="53"/>
      <c r="C259" s="53" t="s">
        <v>189</v>
      </c>
      <c r="D259" s="57"/>
      <c r="E259" s="55" t="s">
        <v>126</v>
      </c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 ht="21.0" customHeight="1">
      <c r="A260" s="55" t="s">
        <v>304</v>
      </c>
      <c r="B260" s="53"/>
      <c r="C260" s="53" t="s">
        <v>176</v>
      </c>
      <c r="D260" s="57"/>
      <c r="E260" s="55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 ht="21.0" customHeight="1">
      <c r="A261" s="52" t="str">
        <f>HYPERLINK("https://www.humblebundle.com/store/megamagic-wizards-of-the-neon-age?partner=seriouslyclara","Megamagic: Wizard of the Neon Age")</f>
        <v>Megamagic: Wizard of the Neon Age</v>
      </c>
      <c r="B261" s="53">
        <v>2016.0</v>
      </c>
      <c r="C261" s="53" t="s">
        <v>123</v>
      </c>
      <c r="D261" s="57"/>
      <c r="E261" s="55" t="s">
        <v>126</v>
      </c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 ht="21.0" customHeight="1">
      <c r="A262" s="52" t="str">
        <f>HYPERLINK("https://www.humblebundle.com/store/megaquarium?partner=seriouslyclara","Megaquarium")</f>
        <v>Megaquarium</v>
      </c>
      <c r="B262" s="53">
        <v>2018.0</v>
      </c>
      <c r="C262" s="53" t="s">
        <v>123</v>
      </c>
      <c r="D262" s="54" t="s">
        <v>305</v>
      </c>
      <c r="E262" s="55" t="s">
        <v>126</v>
      </c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 ht="21.0" customHeight="1">
      <c r="A263" s="52" t="str">
        <f>HYPERLINK("https://store.steampowered.com/app/408280/Message_Quest/","Message Quest")</f>
        <v>Message Quest</v>
      </c>
      <c r="B263" s="53">
        <v>2015.0</v>
      </c>
      <c r="C263" s="53" t="s">
        <v>123</v>
      </c>
      <c r="D263" s="54" t="s">
        <v>306</v>
      </c>
      <c r="E263" s="57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 ht="21.0" customHeight="1">
      <c r="A264" s="52" t="str">
        <f>HYPERLINK("https://store.steampowered.com/app/544970/Milkmaid_of_the_Milky_Way/","Milkmaid of the Milky Way")</f>
        <v>Milkmaid of the Milky Way</v>
      </c>
      <c r="B264" s="53">
        <v>2017.0</v>
      </c>
      <c r="C264" s="53" t="s">
        <v>123</v>
      </c>
      <c r="D264" s="54" t="s">
        <v>307</v>
      </c>
      <c r="E264" s="55" t="s">
        <v>126</v>
      </c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 ht="21.0" customHeight="1">
      <c r="A265" s="52" t="str">
        <f>HYPERLINK("https://www.humblebundle.com/store/minit?partner=seriouslyclara","Minit")</f>
        <v>Minit</v>
      </c>
      <c r="B265" s="53">
        <v>2018.0</v>
      </c>
      <c r="C265" s="53" t="s">
        <v>123</v>
      </c>
      <c r="D265" s="54" t="s">
        <v>308</v>
      </c>
      <c r="E265" s="55" t="s">
        <v>126</v>
      </c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 ht="21.0" customHeight="1">
      <c r="A266" s="52" t="str">
        <f>HYPERLINK("https://store.steampowered.com/app/17410/Mirrors_Edge/","Mirror’s Edge")</f>
        <v>Mirror’s Edge</v>
      </c>
      <c r="B266" s="53"/>
      <c r="C266" s="53" t="s">
        <v>123</v>
      </c>
      <c r="D266" s="57"/>
      <c r="E266" s="55" t="s">
        <v>126</v>
      </c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 ht="21.0" customHeight="1">
      <c r="A267" s="52" t="str">
        <f>HYPERLINK("https://store.steampowered.com/app/302790/Momodora_III/","Momodora III")</f>
        <v>Momodora III</v>
      </c>
      <c r="B267" s="53">
        <v>2014.0</v>
      </c>
      <c r="C267" s="53" t="s">
        <v>123</v>
      </c>
      <c r="D267" s="54" t="s">
        <v>309</v>
      </c>
      <c r="E267" s="55" t="s">
        <v>126</v>
      </c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 ht="21.0" customHeight="1">
      <c r="A268" s="52" t="str">
        <f>HYPERLINK("https://www.humblebundle.com/store/momodora-reverie-under-the-moonlight?partner=seriouslyclara","Momodora: Reverie Under the Moonlight")</f>
        <v>Momodora: Reverie Under the Moonlight</v>
      </c>
      <c r="B268" s="53">
        <v>2016.0</v>
      </c>
      <c r="C268" s="53" t="s">
        <v>123</v>
      </c>
      <c r="D268" s="54" t="s">
        <v>310</v>
      </c>
      <c r="E268" s="55" t="s">
        <v>126</v>
      </c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 ht="21.0" customHeight="1">
      <c r="A269" s="52" t="str">
        <f>HYPERLINK("https://www.humblebundle.com/store/monaco-whats-yours-is-mine?partner=seriouslyclara","Monaco: What's Yours is Mine")</f>
        <v>Monaco: What's Yours is Mine</v>
      </c>
      <c r="B269" s="53">
        <v>2013.0</v>
      </c>
      <c r="C269" s="53" t="s">
        <v>123</v>
      </c>
      <c r="D269" s="54" t="s">
        <v>311</v>
      </c>
      <c r="E269" s="55" t="s">
        <v>126</v>
      </c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 ht="21.0" customHeight="1">
      <c r="A270" s="52" t="str">
        <f>HYPERLINK("https://www.humblebundle.com/store/monster-prom?partner=seriouslyclara","Monster Prom")</f>
        <v>Monster Prom</v>
      </c>
      <c r="B270" s="53">
        <v>2018.0</v>
      </c>
      <c r="C270" s="53" t="s">
        <v>123</v>
      </c>
      <c r="D270" s="54" t="s">
        <v>312</v>
      </c>
      <c r="E270" s="55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 ht="21.0" customHeight="1">
      <c r="A271" s="52" t="str">
        <f>HYPERLINK("https://www.humblebundle.com/store/monster-slayers?partner=seriouslyclara","Monster Slayers")</f>
        <v>Monster Slayers</v>
      </c>
      <c r="B271" s="53">
        <v>2017.0</v>
      </c>
      <c r="C271" s="53" t="s">
        <v>123</v>
      </c>
      <c r="D271" s="54" t="s">
        <v>313</v>
      </c>
      <c r="E271" s="55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 ht="21.0" customHeight="1">
      <c r="A272" s="52" t="str">
        <f>HYPERLINK("https://www.humblebundle.com/store/monsters-and-monocles?partner=seriouslyclara","Monsters and Monacles")</f>
        <v>Monsters and Monacles</v>
      </c>
      <c r="B272" s="53"/>
      <c r="C272" s="53" t="s">
        <v>123</v>
      </c>
      <c r="D272" s="57"/>
      <c r="E272" s="55" t="s">
        <v>126</v>
      </c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 ht="21.0" customHeight="1">
      <c r="A273" s="52" t="str">
        <f>HYPERLINK("https://www.humblebundle.com/store/moon-hunters?partner=seriouslyclara","Moon Hunters")</f>
        <v>Moon Hunters</v>
      </c>
      <c r="B273" s="53">
        <v>2016.0</v>
      </c>
      <c r="C273" s="53" t="s">
        <v>123</v>
      </c>
      <c r="D273" s="57"/>
      <c r="E273" s="55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 ht="21.0" customHeight="1">
      <c r="A274" s="52" t="str">
        <f>HYPERLINK("https://www.humblebundle.com/store/moonlighter?partner=seriouslyclara","Moonlighter")</f>
        <v>Moonlighter</v>
      </c>
      <c r="B274" s="53">
        <v>2018.0</v>
      </c>
      <c r="C274" s="53" t="s">
        <v>123</v>
      </c>
      <c r="D274" s="54" t="s">
        <v>314</v>
      </c>
      <c r="E274" s="55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 ht="21.0" customHeight="1">
      <c r="A275" s="52" t="str">
        <f>HYPERLINK("https://store.steampowered.com/app/314020/Morphopolis/","Morphopolis")</f>
        <v>Morphopolis</v>
      </c>
      <c r="B275" s="53">
        <v>2014.0</v>
      </c>
      <c r="C275" s="53" t="s">
        <v>123</v>
      </c>
      <c r="D275" s="54" t="s">
        <v>315</v>
      </c>
      <c r="E275" s="55" t="s">
        <v>126</v>
      </c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 ht="21.0" customHeight="1">
      <c r="A276" s="55" t="s">
        <v>316</v>
      </c>
      <c r="B276" s="53"/>
      <c r="C276" s="53" t="s">
        <v>176</v>
      </c>
      <c r="D276" s="57"/>
      <c r="E276" s="55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 ht="21.0" customHeight="1">
      <c r="A277" s="52" t="str">
        <f>HYPERLINK("https://store.steampowered.com/app/296470/Mount_Your_Friends/","Mount Your Friends")</f>
        <v>Mount Your Friends</v>
      </c>
      <c r="B277" s="53">
        <v>2014.0</v>
      </c>
      <c r="C277" s="53" t="s">
        <v>123</v>
      </c>
      <c r="D277" s="57"/>
      <c r="E277" s="55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 ht="21.0" customHeight="1">
      <c r="A278" s="52" t="str">
        <f>HYPERLINK("https://www.humblebundle.com/store/mulaka?partner=seriouslyclara","Mulaka")</f>
        <v>Mulaka</v>
      </c>
      <c r="B278" s="53">
        <v>2018.0</v>
      </c>
      <c r="C278" s="53" t="s">
        <v>123</v>
      </c>
      <c r="D278" s="54" t="s">
        <v>317</v>
      </c>
      <c r="E278" s="55" t="s">
        <v>126</v>
      </c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 ht="21.0" customHeight="1">
      <c r="A279" s="52" t="str">
        <f>HYPERLINK("https://www.humblebundle.com/store/murderous-pursuits?partner=seriouslyclara","Murderous Pursuits")</f>
        <v>Murderous Pursuits</v>
      </c>
      <c r="B279" s="53">
        <v>2018.0</v>
      </c>
      <c r="C279" s="53" t="s">
        <v>123</v>
      </c>
      <c r="D279" s="54" t="s">
        <v>318</v>
      </c>
      <c r="E279" s="55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 ht="21.0" customHeight="1">
      <c r="A280" s="52" t="str">
        <f>HYPERLINK("https://www.humblebundle.com/store/my-brother-rabbit?partner=seriouslyclara","My Brother Rabbit")</f>
        <v>My Brother Rabbit</v>
      </c>
      <c r="B280" s="53">
        <v>2018.0</v>
      </c>
      <c r="C280" s="53" t="s">
        <v>123</v>
      </c>
      <c r="D280" s="54" t="s">
        <v>319</v>
      </c>
      <c r="E280" s="55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 ht="21.0" customHeight="1">
      <c r="A281" s="52" t="str">
        <f>HYPERLINK("https://www.humblebundle.com/store/my-memory-of-us?partner=seriouslyclara","My Memory of Us")</f>
        <v>My Memory of Us</v>
      </c>
      <c r="B281" s="53">
        <v>2018.0</v>
      </c>
      <c r="C281" s="53" t="s">
        <v>123</v>
      </c>
      <c r="D281" s="54" t="s">
        <v>320</v>
      </c>
      <c r="E281" s="55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 ht="21.0" customHeight="1">
      <c r="A282" s="52" t="str">
        <f>HYPERLINK("https://www.humblebundle.com/store/my-time-at-portia?partner=seriouslyclara","My Time At Portia")</f>
        <v>My Time At Portia</v>
      </c>
      <c r="B282" s="53">
        <v>2019.0</v>
      </c>
      <c r="C282" s="53" t="s">
        <v>123</v>
      </c>
      <c r="D282" s="54" t="s">
        <v>321</v>
      </c>
      <c r="E282" s="55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 ht="21.0" customHeight="1">
      <c r="A283" s="52" t="str">
        <f>HYPERLINK("https://store.steampowered.com/app/802450/NAIRI_Tower_of_Shirin/","NAIRI: Tower of Shirin")</f>
        <v>NAIRI: Tower of Shirin</v>
      </c>
      <c r="B283" s="53">
        <v>2018.0</v>
      </c>
      <c r="C283" s="53" t="s">
        <v>123</v>
      </c>
      <c r="D283" s="54" t="s">
        <v>322</v>
      </c>
      <c r="E283" s="55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 ht="21.0" customHeight="1">
      <c r="A284" s="52" t="str">
        <f>HYPERLINK("https://www.humblebundle.com/store/nantucket?partner=seriouslyclara","Nantucket")</f>
        <v>Nantucket</v>
      </c>
      <c r="B284" s="53">
        <v>2018.0</v>
      </c>
      <c r="C284" s="53" t="s">
        <v>123</v>
      </c>
      <c r="D284" s="54" t="s">
        <v>323</v>
      </c>
      <c r="E284" s="55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 ht="21.0" customHeight="1">
      <c r="A285" s="52" t="str">
        <f>HYPERLINK("https://store.steampowered.com/app/448290/Nefarious/","Nefarious")</f>
        <v>Nefarious</v>
      </c>
      <c r="B285" s="53">
        <v>2017.0</v>
      </c>
      <c r="C285" s="53" t="s">
        <v>123</v>
      </c>
      <c r="D285" s="54" t="s">
        <v>324</v>
      </c>
      <c r="E285" s="55" t="s">
        <v>126</v>
      </c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 ht="21.0" customHeight="1">
      <c r="A286" s="52" t="str">
        <f>HYPERLINK("https://www.humblebundle.com/store/never-alone-kisima-ingitchuna?partner=seriouslyclara","Never Alone (Kisima Ingitchuna)")</f>
        <v>Never Alone (Kisima Ingitchuna)</v>
      </c>
      <c r="B286" s="53">
        <v>2014.0</v>
      </c>
      <c r="C286" s="53" t="s">
        <v>123</v>
      </c>
      <c r="D286" s="57"/>
      <c r="E286" s="55" t="s">
        <v>126</v>
      </c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 ht="21.0" customHeight="1">
      <c r="A287" s="52" t="str">
        <f>HYPERLINK("https://www.humblebundle.com/store/next-up-hero?partner=seriouslyclara","Next Up Hero")</f>
        <v>Next Up Hero</v>
      </c>
      <c r="B287" s="53">
        <v>2018.0</v>
      </c>
      <c r="C287" s="53" t="s">
        <v>123</v>
      </c>
      <c r="D287" s="54" t="s">
        <v>325</v>
      </c>
      <c r="E287" s="55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 ht="21.0" customHeight="1">
      <c r="A288" s="52" t="str">
        <f>HYPERLINK("https://www.humblebundle.com/store/niche-a-genetics-survival-game?partner=seriouslyclara","Niche - a genetics survival game")</f>
        <v>Niche - a genetics survival game</v>
      </c>
      <c r="B288" s="53">
        <v>2016.0</v>
      </c>
      <c r="C288" s="53" t="s">
        <v>123</v>
      </c>
      <c r="D288" s="54" t="s">
        <v>326</v>
      </c>
      <c r="E288" s="55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 ht="21.0" customHeight="1">
      <c r="A289" s="52" t="str">
        <f>HYPERLINK("https://www.humblebundle.com/store/night-in-the-woods?partner=seriouslyclara","Night in the Woods")</f>
        <v>Night in the Woods</v>
      </c>
      <c r="B289" s="53">
        <v>2017.0</v>
      </c>
      <c r="C289" s="53" t="s">
        <v>123</v>
      </c>
      <c r="D289" s="54" t="s">
        <v>327</v>
      </c>
      <c r="E289" s="55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 ht="21.0" customHeight="1">
      <c r="A290" s="52" t="str">
        <f>HYPERLINK("https://www.humblebundle.com/store/nihilumbra?partner=seriouslyclara","Nihilumbra")</f>
        <v>Nihilumbra</v>
      </c>
      <c r="B290" s="53">
        <v>2013.0</v>
      </c>
      <c r="C290" s="53" t="s">
        <v>123</v>
      </c>
      <c r="D290" s="57"/>
      <c r="E290" s="55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 ht="21.0" customHeight="1">
      <c r="A291" s="52" t="str">
        <f>HYPERLINK("https://www.humblebundle.com/store/nippon-marathon?partner=seriouslyclara","Nippon Marathon")</f>
        <v>Nippon Marathon</v>
      </c>
      <c r="B291" s="53"/>
      <c r="C291" s="53" t="s">
        <v>123</v>
      </c>
      <c r="D291" s="54" t="s">
        <v>328</v>
      </c>
      <c r="E291" s="55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 ht="21.0" customHeight="1">
      <c r="A292" s="52" t="str">
        <f>HYPERLINK("https://www.humblebundle.com/store/noct?partner=seriouslyclara","Noct")</f>
        <v>Noct</v>
      </c>
      <c r="B292" s="53">
        <v>2015.0</v>
      </c>
      <c r="C292" s="53" t="s">
        <v>123</v>
      </c>
      <c r="D292" s="57"/>
      <c r="E292" s="55" t="s">
        <v>126</v>
      </c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 ht="21.0" customHeight="1">
      <c r="A293" s="52" t="str">
        <f>HYPERLINK("https://www.humblebundle.com/store/nuclear-throne?partner=seriouslyclara","Nuclear Throne")</f>
        <v>Nuclear Throne</v>
      </c>
      <c r="B293" s="53">
        <v>2015.0</v>
      </c>
      <c r="C293" s="53" t="s">
        <v>123</v>
      </c>
      <c r="D293" s="57"/>
      <c r="E293" s="55" t="s">
        <v>126</v>
      </c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 ht="21.0" customHeight="1">
      <c r="A294" s="52" t="str">
        <f>HYPERLINK("https://www.humblebundle.com/store/okhlos?partner=seriouslyclara","Okhlos")</f>
        <v>Okhlos</v>
      </c>
      <c r="B294" s="53">
        <v>2016.0</v>
      </c>
      <c r="C294" s="53" t="s">
        <v>123</v>
      </c>
      <c r="D294" s="54" t="s">
        <v>329</v>
      </c>
      <c r="E294" s="55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 ht="21.0" customHeight="1">
      <c r="A295" s="52" t="str">
        <f>HYPERLINK("https://www.humblebundle.com/store/old-mans-journey?partner=seriouslyclara","Old Man's Journey")</f>
        <v>Old Man's Journey</v>
      </c>
      <c r="B295" s="53">
        <v>2017.0</v>
      </c>
      <c r="C295" s="53" t="s">
        <v>123</v>
      </c>
      <c r="D295" s="54" t="s">
        <v>330</v>
      </c>
      <c r="E295" s="55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 ht="21.0" customHeight="1">
      <c r="A296" s="52" t="str">
        <f>HYPERLINK("https://www.humblebundle.com/store/omensight?partner=seriouslyclara","Omensight")</f>
        <v>Omensight</v>
      </c>
      <c r="B296" s="53">
        <v>2018.0</v>
      </c>
      <c r="C296" s="53" t="s">
        <v>123</v>
      </c>
      <c r="D296" s="54" t="s">
        <v>331</v>
      </c>
      <c r="E296" s="55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 ht="21.0" customHeight="1">
      <c r="A297" s="52" t="str">
        <f>HYPERLINK("https://store.steampowered.com/app/264200/One_Finger_Death_Punch/","One Finger Death Punch")</f>
        <v>One Finger Death Punch</v>
      </c>
      <c r="B297" s="53">
        <v>2014.0</v>
      </c>
      <c r="C297" s="53" t="s">
        <v>123</v>
      </c>
      <c r="D297" s="57"/>
      <c r="E297" s="55" t="s">
        <v>126</v>
      </c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 ht="21.0" customHeight="1">
      <c r="A298" s="52" t="str">
        <f>HYPERLINK("https://www.humblebundle.com/store/one-way-heroics-plus?partner=seriouslyclara","One Way Heroics Plus")</f>
        <v>One Way Heroics Plus</v>
      </c>
      <c r="B298" s="53">
        <v>2015.0</v>
      </c>
      <c r="C298" s="53" t="s">
        <v>123</v>
      </c>
      <c r="D298" s="54" t="s">
        <v>332</v>
      </c>
      <c r="E298" s="57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 ht="21.0" customHeight="1">
      <c r="A299" s="52" t="str">
        <f>HYPERLINK("https://store.steampowered.com/app/102600/Orcs_Must_Die/","Orcs Must Die!")</f>
        <v>Orcs Must Die!</v>
      </c>
      <c r="B299" s="53">
        <v>2011.0</v>
      </c>
      <c r="C299" s="53" t="s">
        <v>123</v>
      </c>
      <c r="D299" s="57"/>
      <c r="E299" s="57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 ht="21.0" customHeight="1">
      <c r="A300" s="52" t="str">
        <f>HYPERLINK("https://store.steampowered.com/app/387290/Ori_and_the_Blind_Forest_Definitive_Edition/","Ori and the Blind Forest")</f>
        <v>Ori and the Blind Forest</v>
      </c>
      <c r="B300" s="53">
        <v>2016.0</v>
      </c>
      <c r="C300" s="53" t="s">
        <v>123</v>
      </c>
      <c r="D300" s="57"/>
      <c r="E300" s="57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 ht="21.0" customHeight="1">
      <c r="A301" s="52" t="str">
        <f>HYPERLINK("https://osu.ppy.sh/","Osu!")</f>
        <v>Osu!</v>
      </c>
      <c r="B301" s="53"/>
      <c r="C301" s="53" t="s">
        <v>123</v>
      </c>
      <c r="D301" s="57"/>
      <c r="E301" s="55" t="s">
        <v>126</v>
      </c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 ht="21.0" customHeight="1">
      <c r="A302" s="52" t="str">
        <f>HYPERLINK("https://www.humblebundle.com/store/outlast?partner=seriouslyclara","Outlast")</f>
        <v>Outlast</v>
      </c>
      <c r="B302" s="53">
        <v>2013.0</v>
      </c>
      <c r="C302" s="53" t="s">
        <v>123</v>
      </c>
      <c r="D302" s="57"/>
      <c r="E302" s="55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 ht="21.0" customHeight="1">
      <c r="A303" s="52" t="str">
        <f>HYPERLINK("https://www.humblebundle.com/store/overcooked?partner=seriouslyclara","Overcooked")</f>
        <v>Overcooked</v>
      </c>
      <c r="B303" s="53">
        <v>2016.0</v>
      </c>
      <c r="C303" s="53" t="s">
        <v>123</v>
      </c>
      <c r="D303" s="54" t="s">
        <v>333</v>
      </c>
      <c r="E303" s="55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 ht="21.0" customHeight="1">
      <c r="A304" s="52" t="str">
        <f>HYPERLINK("https://www.humblebundle.com/store/overload?partner=seriouslyclara","Overload")</f>
        <v>Overload</v>
      </c>
      <c r="B304" s="53">
        <v>2018.0</v>
      </c>
      <c r="C304" s="53" t="s">
        <v>123</v>
      </c>
      <c r="D304" s="54" t="s">
        <v>334</v>
      </c>
      <c r="E304" s="55" t="s">
        <v>126</v>
      </c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 ht="21.0" customHeight="1">
      <c r="A305" s="52" t="str">
        <f>HYPERLINK("https://www.humblebundle.com/store/owlboy?partner=seriouslyclara","Owlboy")</f>
        <v>Owlboy</v>
      </c>
      <c r="B305" s="53">
        <v>2016.0</v>
      </c>
      <c r="C305" s="53" t="s">
        <v>123</v>
      </c>
      <c r="D305" s="54" t="s">
        <v>335</v>
      </c>
      <c r="E305" s="55" t="s">
        <v>126</v>
      </c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 ht="21.0" customHeight="1">
      <c r="A306" s="55" t="s">
        <v>336</v>
      </c>
      <c r="B306" s="53"/>
      <c r="C306" s="53" t="s">
        <v>123</v>
      </c>
      <c r="D306" s="57"/>
      <c r="E306" s="57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 ht="21.0" customHeight="1">
      <c r="A307" s="52" t="str">
        <f>HYPERLINK("https://www.humblebundle.com/store/painkiller-hell-damnation?partner=seriouslyclara","Painkiller Hell &amp; Damnation")</f>
        <v>Painkiller Hell &amp; Damnation</v>
      </c>
      <c r="B307" s="53">
        <v>2012.0</v>
      </c>
      <c r="C307" s="53" t="s">
        <v>123</v>
      </c>
      <c r="D307" s="57"/>
      <c r="E307" s="55" t="s">
        <v>126</v>
      </c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 ht="21.0" customHeight="1">
      <c r="A308" s="52" t="str">
        <f>HYPERLINK("https://www.humblebundle.com/store/pankapu?partner=seriouslyclara","Pankapu")</f>
        <v>Pankapu</v>
      </c>
      <c r="B308" s="53">
        <v>2016.0</v>
      </c>
      <c r="C308" s="53" t="s">
        <v>123</v>
      </c>
      <c r="D308" s="57"/>
      <c r="E308" s="55" t="s">
        <v>126</v>
      </c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 ht="21.0" customHeight="1">
      <c r="A309" s="52" t="str">
        <f>HYPERLINK("https://www.humblebundle.com/store/paper-monsters-recut?partner=seriouslyclara","Paper Monsters Recut")</f>
        <v>Paper Monsters Recut</v>
      </c>
      <c r="B309" s="53">
        <v>2014.0</v>
      </c>
      <c r="C309" s="53" t="s">
        <v>123</v>
      </c>
      <c r="D309" s="57"/>
      <c r="E309" s="55" t="s">
        <v>126</v>
      </c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 ht="21.0" customHeight="1">
      <c r="A310" s="52" t="str">
        <f>HYPERLINK("https://www.humblebundle.com/store/paper-sorcerer?partner=seriouslyclara","Paper Sorcerer")</f>
        <v>Paper Sorcerer</v>
      </c>
      <c r="B310" s="53">
        <v>2013.0</v>
      </c>
      <c r="C310" s="53" t="s">
        <v>123</v>
      </c>
      <c r="D310" s="57"/>
      <c r="E310" s="57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 ht="21.0" customHeight="1">
      <c r="A311" s="52" t="str">
        <f>HYPERLINK("https://www.humblebundle.com/store/paperbound?partner=seriouslyclara","Paperbound")</f>
        <v>Paperbound</v>
      </c>
      <c r="B311" s="53">
        <v>2015.0</v>
      </c>
      <c r="C311" s="53" t="s">
        <v>123</v>
      </c>
      <c r="D311" s="57"/>
      <c r="E311" s="57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 ht="21.0" customHeight="1">
      <c r="A312" s="52" t="str">
        <f>HYPERLINK("https://www.humblebundle.com/store/papers-please?partner=seriouslyclara","Papers, Please")</f>
        <v>Papers, Please</v>
      </c>
      <c r="B312" s="53">
        <v>2013.0</v>
      </c>
      <c r="C312" s="53" t="s">
        <v>123</v>
      </c>
      <c r="D312" s="54" t="s">
        <v>337</v>
      </c>
      <c r="E312" s="55" t="s">
        <v>126</v>
      </c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 ht="21.0" customHeight="1">
      <c r="A313" s="52" t="str">
        <f>HYPERLINK("https://www.humblebundle.com/store/party-hard?partner=seriouslyclara","Party Hard")</f>
        <v>Party Hard</v>
      </c>
      <c r="B313" s="53">
        <v>2015.0</v>
      </c>
      <c r="C313" s="53" t="s">
        <v>123</v>
      </c>
      <c r="D313" s="54" t="s">
        <v>338</v>
      </c>
      <c r="E313" s="55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 ht="21.0" customHeight="1">
      <c r="A314" s="52" t="str">
        <f>HYPERLINK("https://www.humblebundle.com/store/party-hard-2?partner=seriouslyclara","Party Hard 2")</f>
        <v>Party Hard 2</v>
      </c>
      <c r="B314" s="53">
        <v>2018.0</v>
      </c>
      <c r="C314" s="53" t="s">
        <v>123</v>
      </c>
      <c r="D314" s="54" t="s">
        <v>339</v>
      </c>
      <c r="E314" s="55" t="s">
        <v>126</v>
      </c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 ht="21.0" customHeight="1">
      <c r="A315" s="52" t="str">
        <f>HYPERLINK("https://store.steampowered.com/app/238960/Path_of_Exile/","Path of Exile")</f>
        <v>Path of Exile</v>
      </c>
      <c r="B315" s="53">
        <v>2013.0</v>
      </c>
      <c r="C315" s="53" t="s">
        <v>123</v>
      </c>
      <c r="D315" s="57"/>
      <c r="E315" s="55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 ht="21.0" customHeight="1">
      <c r="A316" s="52" t="str">
        <f>HYPERLINK("https://store.steampowered.com/app/770410/Path_to_Mnemosyne/","Path to Mnemosyne")</f>
        <v>Path to Mnemosyne</v>
      </c>
      <c r="B316" s="53">
        <v>2018.0</v>
      </c>
      <c r="C316" s="53" t="s">
        <v>123</v>
      </c>
      <c r="D316" s="54" t="s">
        <v>340</v>
      </c>
      <c r="E316" s="55" t="s">
        <v>126</v>
      </c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 ht="21.0" customHeight="1">
      <c r="A317" s="52" t="str">
        <f>HYPERLINK("https://store.steampowered.com/app/682080/Pato_Box/","Pato Box")</f>
        <v>Pato Box</v>
      </c>
      <c r="B317" s="53">
        <v>2018.0</v>
      </c>
      <c r="C317" s="53" t="s">
        <v>123</v>
      </c>
      <c r="D317" s="54" t="s">
        <v>341</v>
      </c>
      <c r="E317" s="55" t="s">
        <v>126</v>
      </c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 ht="21.0" customHeight="1">
      <c r="A318" s="52" t="str">
        <f>HYPERLINK("https://store.steampowered.com/app/218620/PAYDAY_2/","PAYDAY 2")</f>
        <v>PAYDAY 2</v>
      </c>
      <c r="B318" s="53">
        <v>2013.0</v>
      </c>
      <c r="C318" s="53" t="s">
        <v>123</v>
      </c>
      <c r="D318" s="57"/>
      <c r="E318" s="55" t="s">
        <v>126</v>
      </c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 ht="21.0" customHeight="1">
      <c r="A319" s="52" t="str">
        <f>HYPERLINK("https://www.humblebundle.com/store/pikuniku?hmb_source=search_bar","Pikuniku")</f>
        <v>Pikuniku</v>
      </c>
      <c r="B319" s="53">
        <v>2019.0</v>
      </c>
      <c r="C319" s="53" t="s">
        <v>123</v>
      </c>
      <c r="D319" s="54" t="s">
        <v>342</v>
      </c>
      <c r="E319" s="55" t="s">
        <v>126</v>
      </c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 ht="21.0" customHeight="1">
      <c r="A320" s="52" t="str">
        <f>HYPERLINK("https://www.humblebundle.com/store/pillars-of-eternity-definitive-edition?partner=seriouslyclara","Pillars of Eternity: Definitive Edition")</f>
        <v>Pillars of Eternity: Definitive Edition</v>
      </c>
      <c r="B320" s="53">
        <v>2015.0</v>
      </c>
      <c r="C320" s="53" t="s">
        <v>123</v>
      </c>
      <c r="D320" s="54" t="s">
        <v>343</v>
      </c>
      <c r="E320" s="57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 ht="21.0" customHeight="1">
      <c r="A321" s="52" t="str">
        <f>HYPERLINK("https://www.humblebundle.com/store/pinstripe?partner=seriouslyclara","Pinstripe")</f>
        <v>Pinstripe</v>
      </c>
      <c r="B321" s="53">
        <v>2017.0</v>
      </c>
      <c r="C321" s="53" t="s">
        <v>123</v>
      </c>
      <c r="D321" s="57"/>
      <c r="E321" s="57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 ht="21.0" customHeight="1">
      <c r="A322" s="55" t="s">
        <v>344</v>
      </c>
      <c r="B322" s="53"/>
      <c r="C322" s="53" t="s">
        <v>123</v>
      </c>
      <c r="D322" s="57"/>
      <c r="E322" s="55" t="s">
        <v>126</v>
      </c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 ht="21.0" customHeight="1">
      <c r="A323" s="52" t="str">
        <f>HYPERLINK("https://www.humblebundle.com/store/planet-coaster?partner=seriouslyclara","Planet Coaster")</f>
        <v>Planet Coaster</v>
      </c>
      <c r="B323" s="53">
        <v>2016.0</v>
      </c>
      <c r="C323" s="53" t="s">
        <v>123</v>
      </c>
      <c r="D323" s="57"/>
      <c r="E323" s="57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 ht="21.0" customHeight="1">
      <c r="A324" s="52" t="str">
        <f>HYPERLINK("https://store.steampowered.com/app/354240/Please_Dont_Touch_Anything/","Please, Don't Touch Anything")</f>
        <v>Please, Don't Touch Anything</v>
      </c>
      <c r="B324" s="53">
        <v>2015.0</v>
      </c>
      <c r="C324" s="53" t="s">
        <v>123</v>
      </c>
      <c r="D324" s="54" t="s">
        <v>345</v>
      </c>
      <c r="E324" s="55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 ht="21.0" customHeight="1">
      <c r="A325" s="55" t="s">
        <v>346</v>
      </c>
      <c r="B325" s="53"/>
      <c r="C325" s="53" t="s">
        <v>148</v>
      </c>
      <c r="D325" s="57"/>
      <c r="E325" s="55" t="s">
        <v>126</v>
      </c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 ht="21.0" customHeight="1">
      <c r="A326" s="52" t="str">
        <f>HYPERLINK("https://www.humblebundle.com/store/political-animals?partner=seriouslyclara","Political Animals")</f>
        <v>Political Animals</v>
      </c>
      <c r="B326" s="53">
        <v>2016.0</v>
      </c>
      <c r="C326" s="53" t="s">
        <v>123</v>
      </c>
      <c r="D326" s="54" t="s">
        <v>347</v>
      </c>
      <c r="E326" s="55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 ht="21.0" customHeight="1">
      <c r="A327" s="52" t="str">
        <f>HYPERLINK("https://www.humblebundle.com/store/poly-bridge?partner=seriouslyclara","Poly Bridge")</f>
        <v>Poly Bridge</v>
      </c>
      <c r="B327" s="53">
        <v>2016.0</v>
      </c>
      <c r="C327" s="53" t="s">
        <v>123</v>
      </c>
      <c r="D327" s="54" t="s">
        <v>348</v>
      </c>
      <c r="E327" s="55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 ht="21.0" customHeight="1">
      <c r="A328" s="52" t="str">
        <f>HYPERLINK("https://www.humblebundle.com/store/poncho?partner=seriouslyclara","PONCHO")</f>
        <v>PONCHO</v>
      </c>
      <c r="B328" s="53">
        <v>2015.0</v>
      </c>
      <c r="C328" s="53" t="s">
        <v>123</v>
      </c>
      <c r="D328" s="57"/>
      <c r="E328" s="55" t="s">
        <v>126</v>
      </c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 ht="21.0" customHeight="1">
      <c r="A329" s="52" t="str">
        <f>HYPERLINK("https://www.humblebundle.com/store/pony-island?partner=seriouslyclara","Pony Island")</f>
        <v>Pony Island</v>
      </c>
      <c r="B329" s="53">
        <v>2016.0</v>
      </c>
      <c r="C329" s="53" t="s">
        <v>123</v>
      </c>
      <c r="D329" s="54" t="s">
        <v>349</v>
      </c>
      <c r="E329" s="55" t="s">
        <v>126</v>
      </c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 ht="21.0" customHeight="1">
      <c r="A330" s="52" t="str">
        <f>HYPERLINK("https://www.humblebundle.com/store/pool-panic?partner=seriouslyclara","Pool Panic")</f>
        <v>Pool Panic</v>
      </c>
      <c r="B330" s="53">
        <v>2018.0</v>
      </c>
      <c r="C330" s="53" t="s">
        <v>123</v>
      </c>
      <c r="D330" s="54" t="s">
        <v>350</v>
      </c>
      <c r="E330" s="55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 ht="21.0" customHeight="1">
      <c r="A331" s="52" t="str">
        <f>HYPERLINK("https://store.steampowered.com/app/400/Portal/","Portal")</f>
        <v>Portal</v>
      </c>
      <c r="B331" s="53">
        <v>2007.0</v>
      </c>
      <c r="C331" s="53" t="s">
        <v>123</v>
      </c>
      <c r="D331" s="57"/>
      <c r="E331" s="55" t="s">
        <v>126</v>
      </c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 ht="21.0" customHeight="1">
      <c r="A332" s="52" t="str">
        <f>HYPERLINK("https://store.steampowered.com/app/620/Portal_2/","Portal 2")</f>
        <v>Portal 2</v>
      </c>
      <c r="B332" s="53">
        <v>2011.0</v>
      </c>
      <c r="C332" s="53" t="s">
        <v>123</v>
      </c>
      <c r="D332" s="57"/>
      <c r="E332" s="55" t="s">
        <v>126</v>
      </c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 ht="21.0" customHeight="1">
      <c r="A333" s="52" t="str">
        <f>HYPERLINK("https://www.humblebundle.com/store/project-highrise?partner=seriouslyclara","Project Highrise")</f>
        <v>Project Highrise</v>
      </c>
      <c r="B333" s="53">
        <v>2016.0</v>
      </c>
      <c r="C333" s="53" t="s">
        <v>123</v>
      </c>
      <c r="D333" s="54" t="s">
        <v>351</v>
      </c>
      <c r="E333" s="55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 ht="21.0" customHeight="1">
      <c r="A334" s="52" t="str">
        <f>HYPERLINK("https://www.humblebundle.com/store/psychonauts?partner=seriouslyclara","Psychonauts")</f>
        <v>Psychonauts</v>
      </c>
      <c r="B334" s="53">
        <v>2005.0</v>
      </c>
      <c r="C334" s="53" t="s">
        <v>123</v>
      </c>
      <c r="D334" s="54" t="s">
        <v>352</v>
      </c>
      <c r="E334" s="55" t="s">
        <v>126</v>
      </c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 ht="21.0" customHeight="1">
      <c r="A335" s="52" t="str">
        <f>HYPERLINK("https://www.humblebundle.com/store/punch-club?partner=seriouslyclara","Punch Club")</f>
        <v>Punch Club</v>
      </c>
      <c r="B335" s="53">
        <v>2016.0</v>
      </c>
      <c r="C335" s="53" t="s">
        <v>123</v>
      </c>
      <c r="D335" s="57"/>
      <c r="E335" s="55" t="s">
        <v>126</v>
      </c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 ht="21.0" customHeight="1">
      <c r="A336" s="52" t="str">
        <f>HYPERLINK("https://www.humblebundle.com/store/purrfect-date?partner=seriouslyclara","Purrfect Date")</f>
        <v>Purrfect Date</v>
      </c>
      <c r="B336" s="53">
        <v>2017.0</v>
      </c>
      <c r="C336" s="53" t="s">
        <v>123</v>
      </c>
      <c r="D336" s="54" t="s">
        <v>353</v>
      </c>
      <c r="E336" s="55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 ht="21.0" customHeight="1">
      <c r="A337" s="52" t="str">
        <f>HYPERLINK("https://store.steampowered.com/app/462770/Pyre/","Pyre")</f>
        <v>Pyre</v>
      </c>
      <c r="B337" s="53">
        <v>2017.0</v>
      </c>
      <c r="C337" s="53" t="s">
        <v>123</v>
      </c>
      <c r="D337" s="57"/>
      <c r="E337" s="55" t="s">
        <v>126</v>
      </c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 ht="21.0" customHeight="1">
      <c r="A338" s="52" t="str">
        <f>HYPERLINK("https://www.humblebundle.com/store/quadrilateral-cowboy?partner=seriouslyclara","Quadrilateral Cowboy")</f>
        <v>Quadrilateral Cowboy</v>
      </c>
      <c r="B338" s="53">
        <v>2016.0</v>
      </c>
      <c r="C338" s="53" t="s">
        <v>123</v>
      </c>
      <c r="D338" s="55"/>
      <c r="E338" s="55" t="s">
        <v>126</v>
      </c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 ht="21.0" customHeight="1">
      <c r="A339" s="52" t="str">
        <f>HYPERLINK("https://www.humblebundle.com/store/quiplash?partner=seriouslyclara","Quiplash")</f>
        <v>Quiplash</v>
      </c>
      <c r="B339" s="53">
        <v>2015.0</v>
      </c>
      <c r="C339" s="53" t="s">
        <v>123</v>
      </c>
      <c r="D339" s="57"/>
      <c r="E339" s="55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 ht="21.0" customHeight="1">
      <c r="A340" s="55" t="s">
        <v>354</v>
      </c>
      <c r="B340" s="53"/>
      <c r="C340" s="53" t="s">
        <v>123</v>
      </c>
      <c r="D340" s="57"/>
      <c r="E340" s="55" t="s">
        <v>126</v>
      </c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 ht="21.0" customHeight="1">
      <c r="A341" s="52" t="str">
        <f>HYPERLINK("https://store.steampowered.com/app/805660/Rad_Rodgers/","Rad Rodgers")</f>
        <v>Rad Rodgers</v>
      </c>
      <c r="B341" s="53">
        <v>2018.0</v>
      </c>
      <c r="C341" s="53" t="s">
        <v>123</v>
      </c>
      <c r="D341" s="54" t="s">
        <v>355</v>
      </c>
      <c r="E341" s="55" t="s">
        <v>126</v>
      </c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 ht="21.0" customHeight="1">
      <c r="A342" s="52" t="str">
        <f>HYPERLINK("https://www.humblebundle.com/store/really-big-sky?partner=seriouslyclara","Really Big Sky")</f>
        <v>Really Big Sky</v>
      </c>
      <c r="B342" s="53">
        <v>2012.0</v>
      </c>
      <c r="C342" s="53" t="s">
        <v>123</v>
      </c>
      <c r="D342" s="57"/>
      <c r="E342" s="55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 ht="21.0" customHeight="1">
      <c r="A343" s="52" t="str">
        <f>HYPERLINK("https://www.humblebundle.com/store/rebuild-3-gangs-of-deadsville?partner=seriouslyclara","Rebuild 3: Gangs of Deadsville")</f>
        <v>Rebuild 3: Gangs of Deadsville</v>
      </c>
      <c r="B343" s="53">
        <v>2015.0</v>
      </c>
      <c r="C343" s="53" t="s">
        <v>123</v>
      </c>
      <c r="D343" s="57"/>
      <c r="E343" s="55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 ht="21.0" customHeight="1">
      <c r="A344" s="52" t="str">
        <f>HYPERLINK("https://www.humblebundle.com/store/regalia-of-men-and-monarchs?partner=seriouslyclara","Regalia: Of Men and Monarchs")</f>
        <v>Regalia: Of Men and Monarchs</v>
      </c>
      <c r="B344" s="53">
        <v>2017.0</v>
      </c>
      <c r="C344" s="53" t="s">
        <v>123</v>
      </c>
      <c r="D344" s="55"/>
      <c r="E344" s="55" t="s">
        <v>126</v>
      </c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 ht="21.0" customHeight="1">
      <c r="A345" s="52" t="str">
        <f>HYPERLINK("https://www.humblebundle.com/store/regions-of-ruin?partner=seriouslyclara","Regions of Ruin")</f>
        <v>Regions of Ruin</v>
      </c>
      <c r="B345" s="53">
        <v>2018.0</v>
      </c>
      <c r="C345" s="53" t="s">
        <v>123</v>
      </c>
      <c r="D345" s="54" t="s">
        <v>356</v>
      </c>
      <c r="E345" s="55" t="s">
        <v>126</v>
      </c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 ht="21.0" customHeight="1">
      <c r="A346" s="52" t="str">
        <f>HYPERLINK("https://www.humblebundle.com/store/reigns?partner=seriouslyclara","Reigns")</f>
        <v>Reigns</v>
      </c>
      <c r="B346" s="53">
        <v>2016.0</v>
      </c>
      <c r="C346" s="53" t="s">
        <v>123</v>
      </c>
      <c r="D346" s="55"/>
      <c r="E346" s="55" t="s">
        <v>126</v>
      </c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 ht="21.0" customHeight="1">
      <c r="A347" s="52" t="str">
        <f>HYPERLINK("https://www.humblebundle.com/store/reigns-her-majesty?partner=seriouslyclara","Reigns: Her Majesty")</f>
        <v>Reigns: Her Majesty</v>
      </c>
      <c r="B347" s="53">
        <v>2017.0</v>
      </c>
      <c r="C347" s="53" t="s">
        <v>123</v>
      </c>
      <c r="D347" s="55"/>
      <c r="E347" s="55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 ht="21.0" customHeight="1">
      <c r="A348" s="52" t="str">
        <f>HYPERLINK("https://www.humblebundle.com/store/replica?partner=seriouslyclara","Replica")</f>
        <v>Replica</v>
      </c>
      <c r="B348" s="53">
        <v>2016.0</v>
      </c>
      <c r="C348" s="53" t="s">
        <v>123</v>
      </c>
      <c r="D348" s="54" t="s">
        <v>357</v>
      </c>
      <c r="E348" s="55" t="s">
        <v>126</v>
      </c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 ht="21.0" customHeight="1">
      <c r="A349" s="52" t="str">
        <f>HYPERLINK("https://www.humblebundle.com/store/resident-evil-hd-remaster?partner=seriouslyclara","Resident Evil / biohazard HD REMASTER")</f>
        <v>Resident Evil / biohazard HD REMASTER</v>
      </c>
      <c r="B349" s="53">
        <v>2015.0</v>
      </c>
      <c r="C349" s="53" t="s">
        <v>123</v>
      </c>
      <c r="D349" s="57"/>
      <c r="E349" s="55" t="s">
        <v>126</v>
      </c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 ht="21.0" customHeight="1">
      <c r="A350" s="59" t="str">
        <f>HYPERLINK("https://www.humblebundle.com/store/resident-evil-2-biohazard-re2?partner=seriouslyclara","Resident Evil 2")</f>
        <v>Resident Evil 2</v>
      </c>
      <c r="B350" s="53">
        <v>1998.0</v>
      </c>
      <c r="C350" s="53" t="s">
        <v>171</v>
      </c>
      <c r="D350" s="57"/>
      <c r="E350" s="55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 ht="21.0" customHeight="1">
      <c r="A351" s="52" t="str">
        <f>HYPERLINK("http://www.suisoft.co.uk/retroratrace/","Retro Rat Race")</f>
        <v>Retro Rat Race</v>
      </c>
      <c r="B351" s="53">
        <v>2015.0</v>
      </c>
      <c r="C351" s="53" t="s">
        <v>123</v>
      </c>
      <c r="D351" s="54" t="s">
        <v>358</v>
      </c>
      <c r="E351" s="55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 ht="21.0" customHeight="1">
      <c r="A352" s="52" t="str">
        <f>HYPERLINK("https://www.humblebundle.com/store/retsnom?partner=seriouslyclara","RETSNOM")</f>
        <v>RETSNOM</v>
      </c>
      <c r="B352" s="53">
        <v>2015.0</v>
      </c>
      <c r="C352" s="53" t="s">
        <v>123</v>
      </c>
      <c r="D352" s="57"/>
      <c r="E352" s="55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 ht="21.0" customHeight="1">
      <c r="A353" s="52" t="str">
        <f>HYPERLINK("https://www.humblebundle.com/store/return-of-the-obra-dinn?partner=seriouslyclara","Return of the Obra Dinn")</f>
        <v>Return of the Obra Dinn</v>
      </c>
      <c r="B353" s="53">
        <v>2018.0</v>
      </c>
      <c r="C353" s="53" t="s">
        <v>123</v>
      </c>
      <c r="D353" s="54" t="s">
        <v>359</v>
      </c>
      <c r="E353" s="55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 ht="21.0" customHeight="1">
      <c r="A354" s="52" t="str">
        <f>HYPERLINK("https://www.humblebundle.com/store/reus?partner=seriouslyclara","Reus")</f>
        <v>Reus</v>
      </c>
      <c r="B354" s="53">
        <v>2013.0</v>
      </c>
      <c r="C354" s="53" t="s">
        <v>123</v>
      </c>
      <c r="D354" s="54" t="s">
        <v>360</v>
      </c>
      <c r="E354" s="55" t="s">
        <v>126</v>
      </c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 ht="21.0" customHeight="1">
      <c r="A355" s="52" t="str">
        <f>HYPERLINK("https://store.steampowered.com/app/411560/Reveal_The_Deep/","Reveal the Deep")</f>
        <v>Reveal the Deep</v>
      </c>
      <c r="B355" s="53">
        <v>2015.0</v>
      </c>
      <c r="C355" s="53" t="s">
        <v>123</v>
      </c>
      <c r="D355" s="57"/>
      <c r="E355" s="55" t="s">
        <v>126</v>
      </c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 ht="21.0" customHeight="1">
      <c r="A356" s="52" t="str">
        <f>HYPERLINK("https://www.humblebundle.com/store/richard-alice?partner=seriouslyclara","Richard &amp; Alice")</f>
        <v>Richard &amp; Alice</v>
      </c>
      <c r="B356" s="53">
        <v>2014.0</v>
      </c>
      <c r="C356" s="53" t="s">
        <v>123</v>
      </c>
      <c r="D356" s="57"/>
      <c r="E356" s="55" t="s">
        <v>126</v>
      </c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 ht="21.0" customHeight="1">
      <c r="A357" s="52" t="str">
        <f>HYPERLINK("https://www.humblebundle.com/store/rime?partner=seriouslyclara","RiME")</f>
        <v>RiME</v>
      </c>
      <c r="B357" s="53">
        <v>2017.0</v>
      </c>
      <c r="C357" s="53" t="s">
        <v>123</v>
      </c>
      <c r="D357" s="55"/>
      <c r="E357" s="55" t="s">
        <v>126</v>
      </c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 ht="21.0" customHeight="1">
      <c r="A358" s="52" t="str">
        <f>HYPERLINK("https://www.humblebundle.com/store/rise-shine?partner=seriouslyclara","Rise &amp; Shine")</f>
        <v>Rise &amp; Shine</v>
      </c>
      <c r="B358" s="53">
        <v>2017.0</v>
      </c>
      <c r="C358" s="53" t="s">
        <v>123</v>
      </c>
      <c r="D358" s="54" t="s">
        <v>361</v>
      </c>
      <c r="E358" s="55" t="s">
        <v>126</v>
      </c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 ht="21.0" customHeight="1">
      <c r="A359" s="52" t="str">
        <f>HYPERLINK("https://www.humblebundle.com/store/risk-of-rain?partner=seriouslyclara","Risk of Rain")</f>
        <v>Risk of Rain</v>
      </c>
      <c r="B359" s="53">
        <v>2013.0</v>
      </c>
      <c r="C359" s="53" t="s">
        <v>123</v>
      </c>
      <c r="D359" s="57"/>
      <c r="E359" s="55" t="s">
        <v>126</v>
      </c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 ht="21.0" customHeight="1">
      <c r="A360" s="52" t="str">
        <f>HYPERLINK("https://store.steampowered.com/app/107800/Rochard/","Rochard")</f>
        <v>Rochard</v>
      </c>
      <c r="B360" s="53">
        <v>2011.0</v>
      </c>
      <c r="C360" s="53" t="s">
        <v>123</v>
      </c>
      <c r="D360" s="57"/>
      <c r="E360" s="55" t="s">
        <v>126</v>
      </c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 ht="21.0" customHeight="1">
      <c r="A361" s="52" t="str">
        <f>HYPERLINK("https://www.rockband.com/","Rock Band")</f>
        <v>Rock Band</v>
      </c>
      <c r="B361" s="53">
        <v>2007.0</v>
      </c>
      <c r="C361" s="53" t="s">
        <v>153</v>
      </c>
      <c r="D361" s="57"/>
      <c r="E361" s="55" t="s">
        <v>126</v>
      </c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 ht="21.0" customHeight="1">
      <c r="A362" s="52" t="str">
        <f>HYPERLINK("https://www.rockband.com/","Rock Band 3")</f>
        <v>Rock Band 3</v>
      </c>
      <c r="B362" s="53">
        <v>2010.0</v>
      </c>
      <c r="C362" s="53" t="s">
        <v>153</v>
      </c>
      <c r="D362" s="57"/>
      <c r="E362" s="55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 ht="21.0" customHeight="1">
      <c r="A363" s="52" t="str">
        <f>HYPERLINK("https://www.humblebundle.com/store/rocket-league?partner=seriouslyclara","Rocket League")</f>
        <v>Rocket League</v>
      </c>
      <c r="B363" s="53">
        <v>2015.0</v>
      </c>
      <c r="C363" s="53" t="s">
        <v>123</v>
      </c>
      <c r="D363" s="57"/>
      <c r="E363" s="55" t="s">
        <v>126</v>
      </c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 ht="21.0" customHeight="1">
      <c r="A364" s="52" t="str">
        <f>HYPERLINK("https://www.humblebundle.com/store/rogue-legacy?partner=seriouslyclara","Rogue Legacy")</f>
        <v>Rogue Legacy</v>
      </c>
      <c r="B364" s="53">
        <v>2013.0</v>
      </c>
      <c r="C364" s="53" t="s">
        <v>123</v>
      </c>
      <c r="D364" s="54" t="s">
        <v>362</v>
      </c>
      <c r="E364" s="55" t="s">
        <v>126</v>
      </c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 ht="21.0" customHeight="1">
      <c r="A365" s="52" t="str">
        <f>HYPERLINK("https://www.humblebundle.com/store/rogue-wizards?partner=seriouslyclara","Rogue Wizards")</f>
        <v>Rogue Wizards</v>
      </c>
      <c r="B365" s="53">
        <v>2016.0</v>
      </c>
      <c r="C365" s="53" t="s">
        <v>123</v>
      </c>
      <c r="D365" s="57"/>
      <c r="E365" s="55" t="s">
        <v>126</v>
      </c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 ht="21.0" customHeight="1">
      <c r="A366" s="52" t="str">
        <f>HYPERLINK("https://www.humblebundle.com/store/ruin-of-the-reckless?partner=seriouslyclara","Ruin of the Reckless")</f>
        <v>Ruin of the Reckless</v>
      </c>
      <c r="B366" s="53">
        <v>2017.0</v>
      </c>
      <c r="C366" s="53" t="s">
        <v>123</v>
      </c>
      <c r="D366" s="57"/>
      <c r="E366" s="55" t="s">
        <v>126</v>
      </c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 ht="21.0" customHeight="1">
      <c r="A367" s="52" t="str">
        <f>HYPERLINK("https://www.humblebundle.com/store/russian-subway-dogs?partner=seriouslyclara","Russian Subway Dogs")</f>
        <v>Russian Subway Dogs</v>
      </c>
      <c r="B367" s="53">
        <v>2018.0</v>
      </c>
      <c r="C367" s="53" t="s">
        <v>123</v>
      </c>
      <c r="D367" s="54" t="s">
        <v>363</v>
      </c>
      <c r="E367" s="55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 ht="21.0" customHeight="1">
      <c r="A368" s="52" t="str">
        <f>HYPERLINK("https://www.humblebundle.com/store/rust?partner=seriouslyclara","Rust")</f>
        <v>Rust</v>
      </c>
      <c r="B368" s="53">
        <v>2018.0</v>
      </c>
      <c r="C368" s="53" t="s">
        <v>123</v>
      </c>
      <c r="D368" s="57"/>
      <c r="E368" s="55" t="s">
        <v>126</v>
      </c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 ht="21.0" customHeight="1">
      <c r="A369" s="52" t="str">
        <f>HYPERLINK("https://www.humblebundle.com/store/rusty-lake-hotel?partner=seriouslyclara","Rusty Lake Hotel")</f>
        <v>Rusty Lake Hotel</v>
      </c>
      <c r="B369" s="53">
        <v>2016.0</v>
      </c>
      <c r="C369" s="53" t="s">
        <v>123</v>
      </c>
      <c r="D369" s="54" t="s">
        <v>364</v>
      </c>
      <c r="E369" s="55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 ht="21.0" customHeight="1">
      <c r="A370" s="52" t="str">
        <f>HYPERLINK("https://www.humblebundle.com/store/rusty-lake-paradise?partner=seriouslyclara","Rusty Lake Paradise")</f>
        <v>Rusty Lake Paradise</v>
      </c>
      <c r="B370" s="53">
        <v>2018.0</v>
      </c>
      <c r="C370" s="53" t="s">
        <v>123</v>
      </c>
      <c r="D370" s="54" t="s">
        <v>365</v>
      </c>
      <c r="E370" s="55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 ht="21.0" customHeight="1">
      <c r="A371" s="52" t="str">
        <f>HYPERLINK("https://www.humblebundle.com/store/rusty-lake-roots?partner=seriouslyclara","Rusty Lake: Roots")</f>
        <v>Rusty Lake: Roots</v>
      </c>
      <c r="B371" s="53">
        <v>2016.0</v>
      </c>
      <c r="C371" s="53" t="s">
        <v>123</v>
      </c>
      <c r="D371" s="54" t="s">
        <v>366</v>
      </c>
      <c r="E371" s="55" t="s">
        <v>126</v>
      </c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 ht="21.0" customHeight="1">
      <c r="A372" s="52" t="str">
        <f>HYPERLINK("https://www.humblebundle.com/store/samorost-3?partner=seriouslyclara","Samorost 3")</f>
        <v>Samorost 3</v>
      </c>
      <c r="B372" s="53">
        <v>2016.0</v>
      </c>
      <c r="C372" s="53" t="s">
        <v>123</v>
      </c>
      <c r="D372" s="54" t="s">
        <v>367</v>
      </c>
      <c r="E372" s="55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 ht="21.0" customHeight="1">
      <c r="A373" s="52" t="str">
        <f>HYPERLINK("https://store.steampowered.com/app/284050/Sanitarium/","Sanitarium")</f>
        <v>Sanitarium</v>
      </c>
      <c r="B373" s="53">
        <v>1998.0</v>
      </c>
      <c r="C373" s="53" t="s">
        <v>123</v>
      </c>
      <c r="D373" s="54" t="s">
        <v>368</v>
      </c>
      <c r="E373" s="55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 ht="21.0" customHeight="1">
      <c r="A374" s="52" t="str">
        <f>HYPERLINK("https://www.humblebundle.com/store/scribblenauts-unmasked-a-dc-comics-adventure?partner=seriouslyclara","Scribblenauts Unmasked")</f>
        <v>Scribblenauts Unmasked</v>
      </c>
      <c r="B374" s="53">
        <v>2013.0</v>
      </c>
      <c r="C374" s="53" t="s">
        <v>123</v>
      </c>
      <c r="D374" s="57"/>
      <c r="E374" s="55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 ht="21.0" customHeight="1">
      <c r="A375" s="52" t="str">
        <f>HYPERLINK("https://www.humblebundle.com/store/seasons-after-fall?partner=seriouslyclara","Seasons After Fall")</f>
        <v>Seasons After Fall</v>
      </c>
      <c r="B375" s="53">
        <v>2016.0</v>
      </c>
      <c r="C375" s="53" t="s">
        <v>123</v>
      </c>
      <c r="D375" s="54" t="s">
        <v>369</v>
      </c>
      <c r="E375" s="55" t="s">
        <v>126</v>
      </c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 ht="21.0" customHeight="1">
      <c r="A376" s="55" t="s">
        <v>370</v>
      </c>
      <c r="B376" s="53"/>
      <c r="C376" s="53" t="s">
        <v>176</v>
      </c>
      <c r="D376" s="57"/>
      <c r="E376" s="55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 ht="21.0" customHeight="1">
      <c r="A377" s="55" t="s">
        <v>371</v>
      </c>
      <c r="B377" s="53"/>
      <c r="C377" s="53" t="s">
        <v>123</v>
      </c>
      <c r="D377" s="57"/>
      <c r="E377" s="55" t="s">
        <v>126</v>
      </c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 ht="21.0" customHeight="1">
      <c r="A378" s="52" t="str">
        <f>HYPERLINK("https://store.steampowered.com/app/272060/Serena/","Serena")</f>
        <v>Serena</v>
      </c>
      <c r="B378" s="53">
        <v>2014.0</v>
      </c>
      <c r="C378" s="53" t="s">
        <v>123</v>
      </c>
      <c r="D378" s="57"/>
      <c r="E378" s="55" t="s">
        <v>126</v>
      </c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 ht="21.0" customHeight="1">
      <c r="A379" s="52" t="str">
        <f>HYPERLINK("https://www.humblebundle.com/store/serial-cleaner?partner=seriouslyclara","Serial Cleaner")</f>
        <v>Serial Cleaner</v>
      </c>
      <c r="B379" s="53">
        <v>2017.0</v>
      </c>
      <c r="C379" s="53" t="s">
        <v>123</v>
      </c>
      <c r="D379" s="54" t="s">
        <v>372</v>
      </c>
      <c r="E379" s="55" t="s">
        <v>126</v>
      </c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 ht="21.0" customHeight="1">
      <c r="A380" s="52" t="str">
        <f>HYPERLINK("https://www.humblebundle.com/store/shadow-tactics-blades-of-the-shogun?partner=seriouslyclara","Shadow Tactics: Blades of the Shogun")</f>
        <v>Shadow Tactics: Blades of the Shogun</v>
      </c>
      <c r="B380" s="53">
        <v>2016.0</v>
      </c>
      <c r="C380" s="53" t="s">
        <v>123</v>
      </c>
      <c r="D380" s="54" t="s">
        <v>373</v>
      </c>
      <c r="E380" s="57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 ht="21.0" customHeight="1">
      <c r="A381" s="52" t="str">
        <f>HYPERLINK("https://www.humblebundle.com/store/shadows-of-adam?partner=seriouslyclara","Shadows of Adam")</f>
        <v>Shadows of Adam</v>
      </c>
      <c r="B381" s="53">
        <v>2017.0</v>
      </c>
      <c r="C381" s="53" t="s">
        <v>123</v>
      </c>
      <c r="D381" s="54" t="s">
        <v>374</v>
      </c>
      <c r="E381" s="55" t="s">
        <v>126</v>
      </c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 ht="21.0" customHeight="1">
      <c r="A382" s="52" t="str">
        <f>HYPERLINK("https://www.humblebundle.com/store/shantae-halfgenie-hero?partner=seriouslyclara","Shantae: Half-Genie Hero")</f>
        <v>Shantae: Half-Genie Hero</v>
      </c>
      <c r="B382" s="53">
        <v>2016.0</v>
      </c>
      <c r="C382" s="53" t="s">
        <v>123</v>
      </c>
      <c r="D382" s="54" t="s">
        <v>375</v>
      </c>
      <c r="E382" s="55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 ht="21.0" customHeight="1">
      <c r="A383" s="52" t="str">
        <f>HYPERLINK("https://www.humblebundle.com/store/she-remembered-caterpillars?partner=seriouslyclara","She Remembered Caterpillars")</f>
        <v>She Remembered Caterpillars</v>
      </c>
      <c r="B383" s="53">
        <v>2017.0</v>
      </c>
      <c r="C383" s="53" t="s">
        <v>123</v>
      </c>
      <c r="D383" s="54" t="s">
        <v>376</v>
      </c>
      <c r="E383" s="55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 ht="21.0" customHeight="1">
      <c r="A384" s="52" t="str">
        <f>HYPERLINK("https://www.humblebundle.com/store/shelter?partner=seriouslyclara","Shelter")</f>
        <v>Shelter</v>
      </c>
      <c r="B384" s="53">
        <v>2013.0</v>
      </c>
      <c r="C384" s="53" t="s">
        <v>123</v>
      </c>
      <c r="D384" s="55"/>
      <c r="E384" s="55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 ht="21.0" customHeight="1">
      <c r="A385" s="52" t="str">
        <f>HYPERLINK("https://www.humblebundle.com/store/shelter-2?partner=seriouslyclara","Shelter 2")</f>
        <v>Shelter 2</v>
      </c>
      <c r="B385" s="53">
        <v>2015.0</v>
      </c>
      <c r="C385" s="53" t="s">
        <v>123</v>
      </c>
      <c r="D385" s="54" t="s">
        <v>377</v>
      </c>
      <c r="E385" s="55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 ht="21.0" customHeight="1">
      <c r="A386" s="52" t="str">
        <f>HYPERLINK("https://www.humblebundle.com/store/shiness-the-lightning-kingdom?partner=seriouslyclara","Shiness: The Lightning Kingdom")</f>
        <v>Shiness: The Lightning Kingdom</v>
      </c>
      <c r="B386" s="53">
        <v>2017.0</v>
      </c>
      <c r="C386" s="53" t="s">
        <v>123</v>
      </c>
      <c r="D386" s="54" t="s">
        <v>378</v>
      </c>
      <c r="E386" s="55" t="s">
        <v>126</v>
      </c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 ht="21.0" customHeight="1">
      <c r="A387" s="52" t="str">
        <f>HYPERLINK("https://www.humblebundle.com/store/shovel-knight?partner=seriouslyclara","Shovel Knight: Treasure Trove")</f>
        <v>Shovel Knight: Treasure Trove</v>
      </c>
      <c r="B387" s="53">
        <v>2014.0</v>
      </c>
      <c r="C387" s="53" t="s">
        <v>123</v>
      </c>
      <c r="D387" s="55"/>
      <c r="E387" s="55" t="s">
        <v>126</v>
      </c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 ht="21.0" customHeight="1">
      <c r="A388" s="52" t="str">
        <f>HYPERLINK("https://store.steampowered.com/app/359050/Shower_With_Your_Dad_Simulator_2015_Do_You_Still_Shower_With_Your_Dad/","Shower With Your Dad Simulator 2015: Do You Still Shower With Your Dad")</f>
        <v>Shower With Your Dad Simulator 2015: Do You Still Shower With Your Dad</v>
      </c>
      <c r="B388" s="53">
        <v>2015.0</v>
      </c>
      <c r="C388" s="53" t="s">
        <v>123</v>
      </c>
      <c r="D388" s="54" t="s">
        <v>379</v>
      </c>
      <c r="E388" s="55" t="s">
        <v>126</v>
      </c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 ht="21.0" customHeight="1">
      <c r="A389" s="52" t="str">
        <f>HYPERLINK("https://www.humblebundle.com/store/shu?partner=seriouslyclara","Shu")</f>
        <v>Shu</v>
      </c>
      <c r="B389" s="53">
        <v>2016.0</v>
      </c>
      <c r="C389" s="53" t="s">
        <v>123</v>
      </c>
      <c r="D389" s="54" t="s">
        <v>380</v>
      </c>
      <c r="E389" s="55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 ht="21.0" customHeight="1">
      <c r="A390" s="52" t="str">
        <f>HYPERLINK("https://www.humblebundle.com/store/silence?partner=seriouslyclara","Silence")</f>
        <v>Silence</v>
      </c>
      <c r="B390" s="53">
        <v>2016.0</v>
      </c>
      <c r="C390" s="53" t="s">
        <v>123</v>
      </c>
      <c r="D390" s="57"/>
      <c r="E390" s="55" t="s">
        <v>126</v>
      </c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 ht="21.0" customHeight="1">
      <c r="A391" s="52" t="str">
        <f>HYPERLINK("https://store.steampowered.com/app/414530/Skyforge/","Skyforge")</f>
        <v>Skyforge</v>
      </c>
      <c r="B391" s="53">
        <v>2017.0</v>
      </c>
      <c r="C391" s="53" t="s">
        <v>123</v>
      </c>
      <c r="D391" s="57"/>
      <c r="E391" s="55" t="s">
        <v>126</v>
      </c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 ht="21.0" customHeight="1">
      <c r="A392" s="55" t="s">
        <v>381</v>
      </c>
      <c r="B392" s="53"/>
      <c r="C392" s="53" t="s">
        <v>123</v>
      </c>
      <c r="D392" s="57"/>
      <c r="E392" s="55" t="s">
        <v>126</v>
      </c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 ht="21.0" customHeight="1">
      <c r="A393" s="52" t="str">
        <f>HYPERLINK("https://www.humblebundle.com/store/slay-the-spire?partner=seriouslyclara","Slay the Spire")</f>
        <v>Slay the Spire</v>
      </c>
      <c r="B393" s="53"/>
      <c r="C393" s="53" t="s">
        <v>123</v>
      </c>
      <c r="D393" s="57"/>
      <c r="E393" s="55" t="s">
        <v>126</v>
      </c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 ht="21.0" customHeight="1">
      <c r="A394" s="52" t="str">
        <f>HYPERLINK("https://www.humblebundle.com/store/slayaway-camp?partner=seriouslyclara","Slayaway Camp")</f>
        <v>Slayaway Camp</v>
      </c>
      <c r="B394" s="53">
        <v>2016.0</v>
      </c>
      <c r="C394" s="53" t="s">
        <v>123</v>
      </c>
      <c r="D394" s="54" t="s">
        <v>382</v>
      </c>
      <c r="E394" s="55" t="s">
        <v>126</v>
      </c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 ht="21.0" customHeight="1">
      <c r="A395" s="52" t="str">
        <f>HYPERLINK("https://www.humblebundle.com/store/slime-rancher?partner=seriouslyclara","Slime Rancher")</f>
        <v>Slime Rancher</v>
      </c>
      <c r="B395" s="53">
        <v>2017.0</v>
      </c>
      <c r="C395" s="53" t="s">
        <v>123</v>
      </c>
      <c r="D395" s="57"/>
      <c r="E395" s="55" t="s">
        <v>126</v>
      </c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 ht="21.0" customHeight="1">
      <c r="A396" s="52" t="str">
        <f>HYPERLINK("https://www.humblebundle.com/store/small-radios-big-televisions?partner=seriouslyclara","Small Radios Big Televisions")</f>
        <v>Small Radios Big Televisions</v>
      </c>
      <c r="B396" s="53">
        <v>2016.0</v>
      </c>
      <c r="C396" s="53" t="s">
        <v>123</v>
      </c>
      <c r="D396" s="54" t="s">
        <v>383</v>
      </c>
      <c r="E396" s="55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 ht="21.0" customHeight="1">
      <c r="A397" s="52" t="str">
        <f>HYPERLINK("https://www.smitegame.com/","Smite")</f>
        <v>Smite</v>
      </c>
      <c r="B397" s="53">
        <v>2014.0</v>
      </c>
      <c r="C397" s="53" t="s">
        <v>123</v>
      </c>
      <c r="D397" s="57"/>
      <c r="E397" s="55" t="s">
        <v>126</v>
      </c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 ht="21.0" customHeight="1">
      <c r="A398" s="52" t="str">
        <f>HYPERLINK("https://www.humblebundle.com/store/soma?partner=seriouslyclara","SOMA")</f>
        <v>SOMA</v>
      </c>
      <c r="B398" s="53">
        <v>2015.0</v>
      </c>
      <c r="C398" s="53" t="s">
        <v>123</v>
      </c>
      <c r="D398" s="54" t="s">
        <v>384</v>
      </c>
      <c r="E398" s="57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 ht="21.0" customHeight="1">
      <c r="A399" s="55" t="s">
        <v>385</v>
      </c>
      <c r="B399" s="53"/>
      <c r="C399" s="53" t="s">
        <v>123</v>
      </c>
      <c r="D399" s="57"/>
      <c r="E399" s="55" t="s">
        <v>126</v>
      </c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 ht="21.0" customHeight="1">
      <c r="A400" s="52" t="str">
        <f>HYPERLINK("https://www.humblebundle.com/store/song-of-the-deep?partner=seriouslyclara","Song of the Deep")</f>
        <v>Song of the Deep</v>
      </c>
      <c r="B400" s="53">
        <v>2016.0</v>
      </c>
      <c r="C400" s="53" t="s">
        <v>123</v>
      </c>
      <c r="D400" s="54" t="s">
        <v>386</v>
      </c>
      <c r="E400" s="55" t="s">
        <v>126</v>
      </c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 ht="21.0" customHeight="1">
      <c r="A401" s="52" t="str">
        <f>HYPERLINK("https://www.humblebundle.com/store/south-park-the-stick-of-truth?partner=seriouslyclara","South Park: The Stick of Truth")</f>
        <v>South Park: The Stick of Truth</v>
      </c>
      <c r="B401" s="53">
        <v>2014.0</v>
      </c>
      <c r="C401" s="53" t="s">
        <v>123</v>
      </c>
      <c r="D401" s="57"/>
      <c r="E401" s="55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 ht="21.0" customHeight="1">
      <c r="A402" s="52" t="str">
        <f>HYPERLINK("https://store.steampowered.com/app/271570/Space_Farmers/","Space Farmers")</f>
        <v>Space Farmers</v>
      </c>
      <c r="B402" s="53">
        <v>2014.0</v>
      </c>
      <c r="C402" s="53" t="s">
        <v>123</v>
      </c>
      <c r="D402" s="54" t="s">
        <v>387</v>
      </c>
      <c r="E402" s="55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 ht="21.0" customHeight="1">
      <c r="A403" s="52" t="str">
        <f>HYPERLINK("https://store.steampowered.com/app/562230/Space_Tyrant/","Space Tyrant")</f>
        <v>Space Tyrant</v>
      </c>
      <c r="B403" s="53">
        <v>2018.0</v>
      </c>
      <c r="C403" s="53" t="s">
        <v>123</v>
      </c>
      <c r="D403" s="54" t="s">
        <v>388</v>
      </c>
      <c r="E403" s="55" t="s">
        <v>126</v>
      </c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 ht="21.0" customHeight="1">
      <c r="A404" s="52" t="str">
        <f>HYPERLINK("https://store.steampowered.com/app/746400/Speed_Dating_for_Ghosts/","Speed Dating for Ghosts")</f>
        <v>Speed Dating for Ghosts</v>
      </c>
      <c r="B404" s="53">
        <v>2018.0</v>
      </c>
      <c r="C404" s="53" t="s">
        <v>123</v>
      </c>
      <c r="D404" s="54" t="s">
        <v>389</v>
      </c>
      <c r="E404" s="55" t="s">
        <v>126</v>
      </c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 ht="21.0" customHeight="1">
      <c r="A405" s="52" t="str">
        <f>HYPERLINK("https://store.steampowered.com/app/239350/Spelunky/","Spelunky")</f>
        <v>Spelunky</v>
      </c>
      <c r="B405" s="53">
        <v>2013.0</v>
      </c>
      <c r="C405" s="53" t="s">
        <v>123</v>
      </c>
      <c r="D405" s="57"/>
      <c r="E405" s="55" t="s">
        <v>126</v>
      </c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 ht="21.0" customHeight="1">
      <c r="A406" s="55" t="s">
        <v>390</v>
      </c>
      <c r="B406" s="53"/>
      <c r="C406" s="53" t="s">
        <v>142</v>
      </c>
      <c r="D406" s="57"/>
      <c r="E406" s="55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 ht="21.0" customHeight="1">
      <c r="A407" s="52" t="str">
        <f>HYPERLINK("https://store.steampowered.com/app/356670/Spookys_Jump_Scare_Mansion/","Spooky's Jump Scare Mansion")</f>
        <v>Spooky's Jump Scare Mansion</v>
      </c>
      <c r="B407" s="53">
        <v>2015.0</v>
      </c>
      <c r="C407" s="53" t="s">
        <v>123</v>
      </c>
      <c r="D407" s="57"/>
      <c r="E407" s="55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 ht="21.0" customHeight="1">
      <c r="A408" s="52" t="str">
        <f>HYPERLINK("https://www.humblebundle.com/store/sproggiwood?partner=seriouslyclara","Sproggiwood")</f>
        <v>Sproggiwood</v>
      </c>
      <c r="B408" s="53">
        <v>2014.0</v>
      </c>
      <c r="C408" s="53" t="s">
        <v>123</v>
      </c>
      <c r="D408" s="57"/>
      <c r="E408" s="57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 ht="21.0" customHeight="1">
      <c r="A409" s="52" t="str">
        <f>HYPERLINK("https://www.humblebundle.com/store/stardew-valley?partner=seriouslyclara","Stardew Valley")</f>
        <v>Stardew Valley</v>
      </c>
      <c r="B409" s="53">
        <v>2016.0</v>
      </c>
      <c r="C409" s="53" t="s">
        <v>123</v>
      </c>
      <c r="D409" s="57"/>
      <c r="E409" s="55" t="s">
        <v>126</v>
      </c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 ht="21.0" customHeight="1">
      <c r="A410" s="52" t="str">
        <f>HYPERLINK("https://www.humblebundle.com/store/stay?partner=seriouslyclara","STAY")</f>
        <v>STAY</v>
      </c>
      <c r="B410" s="53">
        <v>2018.0</v>
      </c>
      <c r="C410" s="53" t="s">
        <v>123</v>
      </c>
      <c r="D410" s="54" t="s">
        <v>391</v>
      </c>
      <c r="E410" s="55" t="s">
        <v>126</v>
      </c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 ht="21.0" customHeight="1">
      <c r="A411" s="52" t="str">
        <f>HYPERLINK("https://www.humblebundle.com/store/steamworld-dig?partner=seriouslyclara","SteamWorld Dig")</f>
        <v>SteamWorld Dig</v>
      </c>
      <c r="B411" s="53">
        <v>2013.0</v>
      </c>
      <c r="C411" s="53" t="s">
        <v>123</v>
      </c>
      <c r="D411" s="54" t="s">
        <v>392</v>
      </c>
      <c r="E411" s="55" t="s">
        <v>126</v>
      </c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 ht="21.0" customHeight="1">
      <c r="A412" s="52" t="str">
        <f>HYPERLINK("https://www.humblebundle.com/store/steamworld-dig-2?partner=seriouslyclara","SteamWorld Dig 2")</f>
        <v>SteamWorld Dig 2</v>
      </c>
      <c r="B412" s="53">
        <v>2017.0</v>
      </c>
      <c r="C412" s="53" t="s">
        <v>123</v>
      </c>
      <c r="D412" s="54" t="s">
        <v>393</v>
      </c>
      <c r="E412" s="55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 ht="21.0" customHeight="1">
      <c r="A413" s="52" t="str">
        <f>HYPERLINK("https://www.humblebundle.com/store/steamworld-heist?partner=seriouslyclara","SteamWorld Heist")</f>
        <v>SteamWorld Heist</v>
      </c>
      <c r="B413" s="53">
        <v>2016.0</v>
      </c>
      <c r="C413" s="53" t="s">
        <v>123</v>
      </c>
      <c r="D413" s="57"/>
      <c r="E413" s="55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 ht="21.0" customHeight="1">
      <c r="A414" s="52" t="str">
        <f>HYPERLINK("https://www.humblebundle.com/store/stories-untold?partner=seriouslyclara","Stories Untold")</f>
        <v>Stories Untold</v>
      </c>
      <c r="B414" s="53">
        <v>2017.0</v>
      </c>
      <c r="C414" s="53" t="s">
        <v>123</v>
      </c>
      <c r="D414" s="54" t="s">
        <v>394</v>
      </c>
      <c r="E414" s="55" t="s">
        <v>126</v>
      </c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 ht="21.0" customHeight="1">
      <c r="A415" s="52" t="str">
        <f>HYPERLINK("https://www.humblebundle.com/store/stories-the-path-of-destinies?partner=seriouslyclara","Stories: The Path of Destinies")</f>
        <v>Stories: The Path of Destinies</v>
      </c>
      <c r="B415" s="53">
        <v>2016.0</v>
      </c>
      <c r="C415" s="53" t="s">
        <v>123</v>
      </c>
      <c r="D415" s="54" t="s">
        <v>395</v>
      </c>
      <c r="E415" s="55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 ht="21.0" customHeight="1">
      <c r="A416" s="52" t="str">
        <f>HYPERLINK("https://store.steampowered.com/app/964990/Storm_Boy/","Storm Boy")</f>
        <v>Storm Boy</v>
      </c>
      <c r="B416" s="53">
        <v>2018.0</v>
      </c>
      <c r="C416" s="53" t="s">
        <v>123</v>
      </c>
      <c r="D416" s="54" t="s">
        <v>396</v>
      </c>
      <c r="E416" s="55" t="s">
        <v>126</v>
      </c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 ht="21.0" customHeight="1">
      <c r="A417" s="52" t="str">
        <f>HYPERLINK("https://store.steampowered.com/app/377250/Subaeria/","Subaeria")</f>
        <v>Subaeria</v>
      </c>
      <c r="B417" s="53">
        <v>2015.0</v>
      </c>
      <c r="C417" s="53" t="s">
        <v>123</v>
      </c>
      <c r="D417" s="54" t="s">
        <v>397</v>
      </c>
      <c r="E417" s="55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 ht="21.0" customHeight="1">
      <c r="A418" s="52" t="str">
        <f>HYPERLINK("https://www.humblebundle.com/store/subnautica?partner=seriouslyclara","Subnautica")</f>
        <v>Subnautica</v>
      </c>
      <c r="B418" s="53">
        <v>2018.0</v>
      </c>
      <c r="C418" s="53" t="s">
        <v>123</v>
      </c>
      <c r="D418" s="57"/>
      <c r="E418" s="55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 ht="21.0" customHeight="1">
      <c r="A419" s="55" t="s">
        <v>81</v>
      </c>
      <c r="B419" s="53"/>
      <c r="C419" s="53" t="s">
        <v>171</v>
      </c>
      <c r="D419" s="57"/>
      <c r="E419" s="55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 ht="21.0" customHeight="1">
      <c r="A420" s="52" t="str">
        <f>HYPERLINK("https://www.humblebundle.com/store/sundered?partner=seriouslyclara","Sundered")</f>
        <v>Sundered</v>
      </c>
      <c r="B420" s="53">
        <v>2017.0</v>
      </c>
      <c r="C420" s="53" t="s">
        <v>123</v>
      </c>
      <c r="D420" s="54" t="s">
        <v>398</v>
      </c>
      <c r="E420" s="57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 ht="21.0" customHeight="1">
      <c r="A421" s="52" t="str">
        <f>HYPERLINK("https://www.humblebundle.com/store/sunless-sea?partner=seriouslyclara","SUNLESS SEA")</f>
        <v>SUNLESS SEA</v>
      </c>
      <c r="B421" s="53">
        <v>2015.0</v>
      </c>
      <c r="C421" s="53" t="s">
        <v>123</v>
      </c>
      <c r="D421" s="57"/>
      <c r="E421" s="57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 ht="21.0" customHeight="1">
      <c r="A422" s="52" t="str">
        <f>HYPERLINK("https://www.humblebundle.com/store/super-hexagon?partner=seriouslyclara","Super Hexagon")</f>
        <v>Super Hexagon</v>
      </c>
      <c r="B422" s="53">
        <v>2012.0</v>
      </c>
      <c r="C422" s="53" t="s">
        <v>123</v>
      </c>
      <c r="D422" s="57"/>
      <c r="E422" s="55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 ht="21.0" customHeight="1">
      <c r="A423" s="55" t="s">
        <v>399</v>
      </c>
      <c r="B423" s="53"/>
      <c r="C423" s="53" t="s">
        <v>148</v>
      </c>
      <c r="D423" s="57"/>
      <c r="E423" s="57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 ht="21.0" customHeight="1">
      <c r="A424" s="55" t="s">
        <v>400</v>
      </c>
      <c r="B424" s="53"/>
      <c r="C424" s="53" t="s">
        <v>189</v>
      </c>
      <c r="D424" s="57"/>
      <c r="E424" s="55" t="s">
        <v>126</v>
      </c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 ht="21.0" customHeight="1">
      <c r="A425" s="55" t="s">
        <v>401</v>
      </c>
      <c r="B425" s="53"/>
      <c r="C425" s="53" t="s">
        <v>189</v>
      </c>
      <c r="D425" s="57"/>
      <c r="E425" s="55" t="s">
        <v>126</v>
      </c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 ht="21.0" customHeight="1">
      <c r="A426" s="55" t="s">
        <v>402</v>
      </c>
      <c r="B426" s="53"/>
      <c r="C426" s="53" t="s">
        <v>123</v>
      </c>
      <c r="D426" s="57"/>
      <c r="E426" s="55" t="s">
        <v>126</v>
      </c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 ht="21.0" customHeight="1">
      <c r="A427" s="55" t="s">
        <v>403</v>
      </c>
      <c r="B427" s="53"/>
      <c r="C427" s="53" t="s">
        <v>404</v>
      </c>
      <c r="D427" s="57"/>
      <c r="E427" s="55" t="s">
        <v>126</v>
      </c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 ht="21.0" customHeight="1">
      <c r="A428" s="55" t="s">
        <v>405</v>
      </c>
      <c r="B428" s="53"/>
      <c r="C428" s="53" t="s">
        <v>176</v>
      </c>
      <c r="D428" s="57"/>
      <c r="E428" s="55" t="s">
        <v>126</v>
      </c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 ht="21.0" customHeight="1">
      <c r="A429" s="55" t="s">
        <v>406</v>
      </c>
      <c r="B429" s="53"/>
      <c r="C429" s="53" t="s">
        <v>176</v>
      </c>
      <c r="D429" s="57"/>
      <c r="E429" s="57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 ht="21.0" customHeight="1">
      <c r="A430" s="55" t="s">
        <v>407</v>
      </c>
      <c r="B430" s="53"/>
      <c r="C430" s="53" t="s">
        <v>176</v>
      </c>
      <c r="D430" s="57"/>
      <c r="E430" s="57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 ht="21.0" customHeight="1">
      <c r="A431" s="52" t="str">
        <f>HYPERLINK("https://www.humblebundle.com/store/super-meat-boy?partner=seriouslyclara","Super Meat Boy")</f>
        <v>Super Meat Boy</v>
      </c>
      <c r="B431" s="53">
        <v>2010.0</v>
      </c>
      <c r="C431" s="53" t="s">
        <v>123</v>
      </c>
      <c r="D431" s="57"/>
      <c r="E431" s="57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 ht="21.0" customHeight="1">
      <c r="A432" s="52" t="str">
        <f>HYPERLINK("https://www.humblebundle.com/store/super-panda-adventures?partner=seriouslyclara","Super Panda Adventures")</f>
        <v>Super Panda Adventures</v>
      </c>
      <c r="B432" s="53">
        <v>2014.0</v>
      </c>
      <c r="C432" s="53" t="s">
        <v>123</v>
      </c>
      <c r="D432" s="57"/>
      <c r="E432" s="57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 ht="21.0" customHeight="1">
      <c r="A433" s="52" t="str">
        <f>HYPERLINK("https://store.steampowered.com/app/422980/Super_Robot_Jump_Jump/","Super Robot Jump Jump")</f>
        <v>Super Robot Jump Jump</v>
      </c>
      <c r="B433" s="53">
        <v>2016.0</v>
      </c>
      <c r="C433" s="53" t="s">
        <v>123</v>
      </c>
      <c r="D433" s="57"/>
      <c r="E433" s="57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 ht="21.0" customHeight="1">
      <c r="A434" s="55" t="s">
        <v>408</v>
      </c>
      <c r="B434" s="53"/>
      <c r="C434" s="53" t="s">
        <v>142</v>
      </c>
      <c r="D434" s="57"/>
      <c r="E434" s="57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 ht="21.0" customHeight="1">
      <c r="A435" s="52" t="str">
        <f>HYPERLINK("https://www.humblebundle.com/store/surgeon-simulator?partner=seriouslyclara","Surgeon Simulator")</f>
        <v>Surgeon Simulator</v>
      </c>
      <c r="B435" s="53">
        <v>2013.0</v>
      </c>
      <c r="C435" s="53" t="s">
        <v>123</v>
      </c>
      <c r="D435" s="57"/>
      <c r="E435" s="57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 ht="21.0" customHeight="1">
      <c r="A436" s="52" t="str">
        <f>HYPERLINK("https://www.humblebundle.com/store/system-shock-enhanced-edition?partner=seriouslyclara","System Shock: Enhanced Edition")</f>
        <v>System Shock: Enhanced Edition</v>
      </c>
      <c r="B436" s="53">
        <v>2015.0</v>
      </c>
      <c r="C436" s="53" t="s">
        <v>123</v>
      </c>
      <c r="D436" s="54" t="s">
        <v>409</v>
      </c>
      <c r="E436" s="57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 ht="21.0" customHeight="1">
      <c r="A437" s="52" t="str">
        <f>HYPERLINK("https://www.humblebundle.com/store/tacoma?partner=seriouslyclara","Tacoma")</f>
        <v>Tacoma</v>
      </c>
      <c r="B437" s="53">
        <v>2017.0</v>
      </c>
      <c r="C437" s="53" t="s">
        <v>123</v>
      </c>
      <c r="D437" s="54" t="s">
        <v>410</v>
      </c>
      <c r="E437" s="55" t="s">
        <v>126</v>
      </c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 ht="21.0" customHeight="1">
      <c r="A438" s="52" t="str">
        <f>HYPERLINK("https://www.humblebundle.com/store/tales-from-the-borderlands?partner=seriouslyclara","Tales from the Borderlands")</f>
        <v>Tales from the Borderlands</v>
      </c>
      <c r="B438" s="53">
        <v>2014.0</v>
      </c>
      <c r="C438" s="53" t="s">
        <v>123</v>
      </c>
      <c r="D438" s="57"/>
      <c r="E438" s="55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 ht="21.0" customHeight="1">
      <c r="A439" s="52" t="str">
        <f>HYPERLINK("https://www.humblebundle.com/store/tengami?partner=seriouslyclara","Tengami")</f>
        <v>Tengami</v>
      </c>
      <c r="B439" s="53">
        <v>2015.0</v>
      </c>
      <c r="C439" s="53" t="s">
        <v>123</v>
      </c>
      <c r="D439" s="54" t="s">
        <v>411</v>
      </c>
      <c r="E439" s="55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 ht="21.0" customHeight="1">
      <c r="A440" s="52" t="str">
        <f>HYPERLINK("https://www.humblebundle.com/store/terraria?partner=seriouslyclara","Terraria")</f>
        <v>Terraria</v>
      </c>
      <c r="B440" s="53">
        <v>2011.0</v>
      </c>
      <c r="C440" s="53" t="s">
        <v>123</v>
      </c>
      <c r="D440" s="57"/>
      <c r="E440" s="55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 ht="21.0" customHeight="1">
      <c r="A441" s="55" t="s">
        <v>412</v>
      </c>
      <c r="B441" s="53"/>
      <c r="C441" s="53" t="s">
        <v>189</v>
      </c>
      <c r="D441" s="57"/>
      <c r="E441" s="57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 ht="21.0" customHeight="1">
      <c r="A442" s="52" t="str">
        <f>HYPERLINK("https://www.humblebundle.com/store/that-dragon-cancer?partner=seriouslyclara","That Dragon, Cancer")</f>
        <v>That Dragon, Cancer</v>
      </c>
      <c r="B442" s="53">
        <v>2016.0</v>
      </c>
      <c r="C442" s="53" t="s">
        <v>123</v>
      </c>
      <c r="D442" s="57"/>
      <c r="E442" s="55" t="s">
        <v>126</v>
      </c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 ht="21.0" customHeight="1">
      <c r="A443" s="52" t="str">
        <f>HYPERLINK("https://www.humblebundle.com/store/the-adventure-pals?partner=seriouslyclara","The Adventure Pals")</f>
        <v>The Adventure Pals</v>
      </c>
      <c r="B443" s="53">
        <v>2018.0</v>
      </c>
      <c r="C443" s="53" t="s">
        <v>123</v>
      </c>
      <c r="D443" s="54" t="s">
        <v>413</v>
      </c>
      <c r="E443" s="55" t="s">
        <v>126</v>
      </c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 ht="21.0" customHeight="1">
      <c r="A444" s="52" t="str">
        <f>HYPERLINK("https://www.humblebundle.com/store/the-banner-saga?partner=seriouslyclara","The Banner Saga")</f>
        <v>The Banner Saga</v>
      </c>
      <c r="B444" s="53">
        <v>2014.0</v>
      </c>
      <c r="C444" s="53" t="s">
        <v>123</v>
      </c>
      <c r="D444" s="54" t="s">
        <v>414</v>
      </c>
      <c r="E444" s="55" t="s">
        <v>126</v>
      </c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 ht="21.0" customHeight="1">
      <c r="A445" s="52" t="str">
        <f>HYPERLINK("https://www.humblebundle.com/store/banner-saga-2?partner=seriouslyclara","The Banner Saga 2")</f>
        <v>The Banner Saga 2</v>
      </c>
      <c r="B445" s="53">
        <v>2016.0</v>
      </c>
      <c r="C445" s="53" t="s">
        <v>123</v>
      </c>
      <c r="D445" s="54" t="s">
        <v>415</v>
      </c>
      <c r="E445" s="55" t="s">
        <v>126</v>
      </c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 ht="21.0" customHeight="1">
      <c r="A446" s="52" t="str">
        <f>HYPERLINK("https://www.humblebundle.com/store/the-beginners-guide?partner=seriouslyclara","The Beginner's Guide")</f>
        <v>The Beginner's Guide</v>
      </c>
      <c r="B446" s="53">
        <v>2015.0</v>
      </c>
      <c r="C446" s="53" t="s">
        <v>123</v>
      </c>
      <c r="D446" s="57"/>
      <c r="E446" s="55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 ht="21.0" customHeight="1">
      <c r="A447" s="52" t="str">
        <f>HYPERLINK("https://www.humblebundle.com/store/the-binding-of-isaac-rebirth?partner=seriouslyclara","The Binding of Isaac: Rebirth")</f>
        <v>The Binding of Isaac: Rebirth</v>
      </c>
      <c r="B447" s="53">
        <v>2014.0</v>
      </c>
      <c r="C447" s="53" t="s">
        <v>123</v>
      </c>
      <c r="D447" s="57"/>
      <c r="E447" s="55" t="s">
        <v>126</v>
      </c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 ht="21.0" customHeight="1">
      <c r="A448" s="52" t="str">
        <f>HYPERLINK("https://www.humblebundle.com/store/the-bridge?partner=seriouslyclara","The Bridge")</f>
        <v>The Bridge</v>
      </c>
      <c r="B448" s="53">
        <v>2013.0</v>
      </c>
      <c r="C448" s="53" t="s">
        <v>123</v>
      </c>
      <c r="D448" s="54" t="s">
        <v>416</v>
      </c>
      <c r="E448" s="55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 ht="21.0" customHeight="1">
      <c r="A449" s="52" t="str">
        <f>HYPERLINK("https://www.humblebundle.com/store/the-bunker?partner=seriouslyclara","The Bunker")</f>
        <v>The Bunker</v>
      </c>
      <c r="B449" s="53">
        <v>2016.0</v>
      </c>
      <c r="C449" s="53" t="s">
        <v>123</v>
      </c>
      <c r="D449" s="54" t="s">
        <v>417</v>
      </c>
      <c r="E449" s="55" t="s">
        <v>126</v>
      </c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 ht="21.0" customHeight="1">
      <c r="A450" s="52" t="str">
        <f>HYPERLINK("https://www.humblebundle.com/store/the-cat-lady?partner=seriouslyclara","The Cat Lady")</f>
        <v>The Cat Lady</v>
      </c>
      <c r="B450" s="53">
        <v>2012.0</v>
      </c>
      <c r="C450" s="53" t="s">
        <v>123</v>
      </c>
      <c r="D450" s="57"/>
      <c r="E450" s="57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 ht="21.0" customHeight="1">
      <c r="A451" s="52" t="str">
        <f>HYPERLINK("https://store.steampowered.com/app/221810/The_Cave/","The Cave")</f>
        <v>The Cave</v>
      </c>
      <c r="B451" s="53">
        <v>2013.0</v>
      </c>
      <c r="C451" s="53" t="s">
        <v>123</v>
      </c>
      <c r="D451" s="57"/>
      <c r="E451" s="57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 ht="21.0" customHeight="1">
      <c r="A452" s="52" t="str">
        <f>HYPERLINK("https://www.humblebundle.com/store/the-colonists?partner=seriouslyclara","The Colonists")</f>
        <v>The Colonists</v>
      </c>
      <c r="B452" s="53">
        <v>2018.0</v>
      </c>
      <c r="C452" s="53" t="s">
        <v>123</v>
      </c>
      <c r="D452" s="54" t="s">
        <v>418</v>
      </c>
      <c r="E452" s="57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 ht="21.0" customHeight="1">
      <c r="A453" s="52" t="str">
        <f>HYPERLINK("https://www.humblebundle.com/store/the-council-complete-season?partner=seriouslyclara","The Council")</f>
        <v>The Council</v>
      </c>
      <c r="B453" s="53">
        <v>2018.0</v>
      </c>
      <c r="C453" s="53" t="s">
        <v>123</v>
      </c>
      <c r="D453" s="54" t="s">
        <v>419</v>
      </c>
      <c r="E453" s="55" t="s">
        <v>126</v>
      </c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 ht="21.0" customHeight="1">
      <c r="A454" s="52" t="str">
        <f>HYPERLINK("https://www.humblebundle.com/store/the-count-lucanor?partner=seriouslyclara","The Count Lucanor")</f>
        <v>The Count Lucanor</v>
      </c>
      <c r="B454" s="53">
        <v>2016.0</v>
      </c>
      <c r="C454" s="53" t="s">
        <v>123</v>
      </c>
      <c r="D454" s="54" t="s">
        <v>420</v>
      </c>
      <c r="E454" s="55" t="s">
        <v>126</v>
      </c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 ht="21.0" customHeight="1">
      <c r="A455" s="52" t="str">
        <f>HYPERLINK("https://www.humblebundle.com/store/the-darkside-detective?partner=seriouslyclara","The Darkside Detective")</f>
        <v>The Darkside Detective</v>
      </c>
      <c r="B455" s="53">
        <v>2017.0</v>
      </c>
      <c r="C455" s="53" t="s">
        <v>123</v>
      </c>
      <c r="D455" s="54" t="s">
        <v>421</v>
      </c>
      <c r="E455" s="55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 ht="21.0" customHeight="1">
      <c r="A456" s="52" t="str">
        <f>HYPERLINK("http://ateliersento.com/dollshop/","The Doll Shop")</f>
        <v>The Doll Shop</v>
      </c>
      <c r="B456" s="53">
        <v>2018.0</v>
      </c>
      <c r="C456" s="53" t="s">
        <v>123</v>
      </c>
      <c r="D456" s="54" t="s">
        <v>422</v>
      </c>
      <c r="E456" s="55" t="s">
        <v>126</v>
      </c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 ht="21.0" customHeight="1">
      <c r="A457" s="52" t="str">
        <f>HYPERLINK("https://www.humblebundle.com/store/the-dream-machine?partner=seriouslyclara","The Dream Machine")</f>
        <v>The Dream Machine</v>
      </c>
      <c r="B457" s="53">
        <v>2017.0</v>
      </c>
      <c r="C457" s="53" t="s">
        <v>123</v>
      </c>
      <c r="D457" s="55"/>
      <c r="E457" s="55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 ht="21.0" customHeight="1">
      <c r="A458" s="52" t="str">
        <f>HYPERLINK("https://www.humblebundle.com/store/the-elder-scrolls-online-standard?partner=seriouslyclara","The Elder Scrolls Online")</f>
        <v>The Elder Scrolls Online</v>
      </c>
      <c r="B458" s="53">
        <v>2014.0</v>
      </c>
      <c r="C458" s="53" t="s">
        <v>123</v>
      </c>
      <c r="D458" s="57"/>
      <c r="E458" s="55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 ht="21.0" customHeight="1">
      <c r="A459" s="52" t="str">
        <f>HYPERLINK("https://www.humblebundle.com/store/the-elder-scrolls-v-skyrim?partner=seriouslyclara","The Elder Scrolls V: Skyrim")</f>
        <v>The Elder Scrolls V: Skyrim</v>
      </c>
      <c r="B459" s="53"/>
      <c r="C459" s="53" t="s">
        <v>123</v>
      </c>
      <c r="D459" s="57"/>
      <c r="E459" s="55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 ht="21.0" customHeight="1">
      <c r="A460" s="52" t="str">
        <f>HYPERLINK("https://www.humblebundle.com/store/the-final-station?partner=seriouslyclara","The Final Station")</f>
        <v>The Final Station</v>
      </c>
      <c r="B460" s="53">
        <v>2016.0</v>
      </c>
      <c r="C460" s="53" t="s">
        <v>123</v>
      </c>
      <c r="D460" s="54" t="s">
        <v>423</v>
      </c>
      <c r="E460" s="55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 ht="21.0" customHeight="1">
      <c r="A461" s="52" t="str">
        <f>HYPERLINK("https://store.steampowered.com/app/555150/The_First_Tree/","The First Tree")</f>
        <v>The First Tree</v>
      </c>
      <c r="B461" s="53">
        <v>2017.0</v>
      </c>
      <c r="C461" s="53" t="s">
        <v>123</v>
      </c>
      <c r="D461" s="54" t="s">
        <v>424</v>
      </c>
      <c r="E461" s="55" t="s">
        <v>126</v>
      </c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 ht="21.0" customHeight="1">
      <c r="A462" s="52" t="str">
        <f>HYPERLINK("https://www.humblebundle.com/store/the-flame-in-the-flood?partner=seriouslyclara","The Flame in the Flood")</f>
        <v>The Flame in the Flood</v>
      </c>
      <c r="B462" s="53">
        <v>2016.0</v>
      </c>
      <c r="C462" s="53" t="s">
        <v>123</v>
      </c>
      <c r="D462" s="54" t="s">
        <v>425</v>
      </c>
      <c r="E462" s="55" t="s">
        <v>126</v>
      </c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 ht="21.0" customHeight="1">
      <c r="A463" s="52" t="str">
        <f>HYPERLINK("https://www.humblebundle.com/store/the-frostrune?partner=seriouslyclara","The Frostrune")</f>
        <v>The Frostrune</v>
      </c>
      <c r="B463" s="53">
        <v>2017.0</v>
      </c>
      <c r="C463" s="53" t="s">
        <v>123</v>
      </c>
      <c r="D463" s="54" t="s">
        <v>426</v>
      </c>
      <c r="E463" s="55" t="s">
        <v>126</v>
      </c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 ht="21.0" customHeight="1">
      <c r="A464" s="52" t="str">
        <f>HYPERLINK("https://www.humblebundle.com/store/the-gardens-between?partner=seriouslyclara","The Gardens Between")</f>
        <v>The Gardens Between</v>
      </c>
      <c r="B464" s="53">
        <v>2018.0</v>
      </c>
      <c r="C464" s="53" t="s">
        <v>123</v>
      </c>
      <c r="D464" s="54" t="s">
        <v>427</v>
      </c>
      <c r="E464" s="55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 ht="21.0" customHeight="1">
      <c r="A465" s="52" t="str">
        <f>HYPERLINK("https://www.humblebundle.com/store/the-impossible-game?partner=seriouslyclara","The Impossible Game")</f>
        <v>The Impossible Game</v>
      </c>
      <c r="B465" s="53">
        <v>2014.0</v>
      </c>
      <c r="C465" s="53" t="s">
        <v>123</v>
      </c>
      <c r="D465" s="57"/>
      <c r="E465" s="55" t="s">
        <v>126</v>
      </c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 ht="21.0" customHeight="1">
      <c r="A466" s="52" t="str">
        <f>HYPERLINK("https://www.humblebundle.com/store/the-infectious-madness-of-doctor-dekker?partner=seriouslyclara","The Infectious Madness of Doctor Dekker")</f>
        <v>The Infectious Madness of Doctor Dekker</v>
      </c>
      <c r="B466" s="53">
        <v>2017.0</v>
      </c>
      <c r="C466" s="53" t="s">
        <v>123</v>
      </c>
      <c r="D466" s="54" t="s">
        <v>428</v>
      </c>
      <c r="E466" s="57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 ht="21.0" customHeight="1">
      <c r="A467" s="55" t="s">
        <v>429</v>
      </c>
      <c r="B467" s="53"/>
      <c r="C467" s="53" t="s">
        <v>189</v>
      </c>
      <c r="D467" s="57"/>
      <c r="E467" s="55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 ht="21.0" customHeight="1">
      <c r="A468" s="55" t="s">
        <v>430</v>
      </c>
      <c r="B468" s="53"/>
      <c r="C468" s="53" t="s">
        <v>176</v>
      </c>
      <c r="D468" s="57"/>
      <c r="E468" s="57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 ht="21.0" customHeight="1">
      <c r="A469" s="55" t="s">
        <v>431</v>
      </c>
      <c r="B469" s="53"/>
      <c r="C469" s="53" t="s">
        <v>148</v>
      </c>
      <c r="D469" s="57"/>
      <c r="E469" s="57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 ht="21.0" customHeight="1">
      <c r="A470" s="52" t="str">
        <f>HYPERLINK("https://www.humblebundle.com/store/the-magic-circle?partner=seriouslyclara","The Magic Circle")</f>
        <v>The Magic Circle</v>
      </c>
      <c r="B470" s="53">
        <v>2015.0</v>
      </c>
      <c r="C470" s="53" t="s">
        <v>123</v>
      </c>
      <c r="D470" s="54" t="s">
        <v>432</v>
      </c>
      <c r="E470" s="55" t="s">
        <v>126</v>
      </c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 ht="21.0" customHeight="1">
      <c r="A471" s="52" t="str">
        <f>HYPERLINK("https://www.humblebundle.com/store/the-messenger?partner=seriouslyclara","The Messenger")</f>
        <v>The Messenger</v>
      </c>
      <c r="B471" s="53">
        <v>2018.0</v>
      </c>
      <c r="C471" s="53" t="s">
        <v>123</v>
      </c>
      <c r="D471" s="54" t="s">
        <v>433</v>
      </c>
      <c r="E471" s="55" t="s">
        <v>126</v>
      </c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 ht="21.0" customHeight="1">
      <c r="A472" s="52" t="str">
        <f>HYPERLINK("https://www.humblebundle.com/store/the-metronomicon?partner=seriouslyclara","The Metronomicon")</f>
        <v>The Metronomicon</v>
      </c>
      <c r="B472" s="53">
        <v>2016.0</v>
      </c>
      <c r="C472" s="53" t="s">
        <v>123</v>
      </c>
      <c r="D472" s="54" t="s">
        <v>434</v>
      </c>
      <c r="E472" s="55" t="s">
        <v>126</v>
      </c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 ht="21.0" customHeight="1">
      <c r="A473" s="52" t="str">
        <f>HYPERLINK("https://store.steampowered.com/app/842910/The_MISSING_JJ_Macfield_and_the_Island_of_Memories/","The MISSING: J.J. Macfield and the Island of Memories")</f>
        <v>The MISSING: J.J. Macfield and the Island of Memories</v>
      </c>
      <c r="B473" s="53">
        <v>2018.0</v>
      </c>
      <c r="C473" s="53" t="s">
        <v>123</v>
      </c>
      <c r="D473" s="54" t="s">
        <v>435</v>
      </c>
      <c r="E473" s="55" t="s">
        <v>126</v>
      </c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 ht="21.0" customHeight="1">
      <c r="A474" s="52" t="str">
        <f>HYPERLINK("https://www.humblebundle.com/store/the-night-of-the-rabbit?partner=seriouslyclara","The Night of the Rabbit")</f>
        <v>The Night of the Rabbit</v>
      </c>
      <c r="B474" s="53">
        <v>2013.0</v>
      </c>
      <c r="C474" s="53" t="s">
        <v>123</v>
      </c>
      <c r="D474" s="57"/>
      <c r="E474" s="55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 ht="21.0" customHeight="1">
      <c r="A475" s="52" t="str">
        <f>HYPERLINK("https://store.steampowered.com/app/810660/The_Office_Quest/","The Office Quest")</f>
        <v>The Office Quest</v>
      </c>
      <c r="B475" s="53">
        <v>2018.0</v>
      </c>
      <c r="C475" s="53" t="s">
        <v>123</v>
      </c>
      <c r="D475" s="54" t="s">
        <v>436</v>
      </c>
      <c r="E475" s="57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 ht="21.0" customHeight="1">
      <c r="A476" s="52" t="str">
        <f>HYPERLINK("https://www.humblebundle.com/store/the-park?partner=seriouslyclara","The Park")</f>
        <v>The Park</v>
      </c>
      <c r="B476" s="53">
        <v>2015.0</v>
      </c>
      <c r="C476" s="53" t="s">
        <v>123</v>
      </c>
      <c r="D476" s="54" t="s">
        <v>437</v>
      </c>
      <c r="E476" s="55" t="s">
        <v>126</v>
      </c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 ht="21.0" customHeight="1">
      <c r="A477" s="52" t="str">
        <f>HYPERLINK("https://www.humblebundle.com/store/the-red-strings-club?partner=seriouslyclara","The Red Strings Club")</f>
        <v>The Red Strings Club</v>
      </c>
      <c r="B477" s="53">
        <v>2018.0</v>
      </c>
      <c r="C477" s="53" t="s">
        <v>123</v>
      </c>
      <c r="D477" s="54" t="s">
        <v>438</v>
      </c>
      <c r="E477" s="57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 ht="21.0" customHeight="1">
      <c r="A478" s="52" t="str">
        <f>HYPERLINK("https://www.humblebundle.com/store/the-sexy-brutale?partner=seriouslyclara","The Sexy Brutale")</f>
        <v>The Sexy Brutale</v>
      </c>
      <c r="B478" s="53">
        <v>2017.0</v>
      </c>
      <c r="C478" s="53" t="s">
        <v>123</v>
      </c>
      <c r="D478" s="57"/>
      <c r="E478" s="55" t="s">
        <v>126</v>
      </c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 ht="21.0" customHeight="1">
      <c r="A479" s="52" t="str">
        <f>HYPERLINK("https://www.humblebundle.com/store/the-shrouded-isle?partner=seriouslyclara","The Shrouded Isle")</f>
        <v>The Shrouded Isle</v>
      </c>
      <c r="B479" s="53">
        <v>2017.0</v>
      </c>
      <c r="C479" s="53" t="s">
        <v>123</v>
      </c>
      <c r="D479" s="57"/>
      <c r="E479" s="55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 ht="21.0" customHeight="1">
      <c r="A480" s="52" t="str">
        <f>HYPERLINK("https://www.humblebundle.com/store/the-silver-case?partner=seriouslyclara","The Silver Case")</f>
        <v>The Silver Case</v>
      </c>
      <c r="B480" s="53">
        <v>2016.0</v>
      </c>
      <c r="C480" s="53" t="s">
        <v>123</v>
      </c>
      <c r="D480" s="54" t="s">
        <v>439</v>
      </c>
      <c r="E480" s="55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 ht="21.0" customHeight="1">
      <c r="A481" s="55" t="s">
        <v>440</v>
      </c>
      <c r="B481" s="53"/>
      <c r="C481" s="53" t="s">
        <v>123</v>
      </c>
      <c r="D481" s="57"/>
      <c r="E481" s="55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 ht="21.0" customHeight="1">
      <c r="A482" s="55" t="s">
        <v>441</v>
      </c>
      <c r="B482" s="53"/>
      <c r="C482" s="53" t="s">
        <v>123</v>
      </c>
      <c r="D482" s="57"/>
      <c r="E482" s="55" t="s">
        <v>126</v>
      </c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 ht="21.0" customHeight="1">
      <c r="A483" s="52" t="str">
        <f>HYPERLINK("https://www.humblebundle.com/store/the-stanley-parable?partner=seriouslyclara","The Stanley Parable")</f>
        <v>The Stanley Parable</v>
      </c>
      <c r="B483" s="53">
        <v>2013.0</v>
      </c>
      <c r="C483" s="53" t="s">
        <v>123</v>
      </c>
      <c r="D483" s="57"/>
      <c r="E483" s="55" t="s">
        <v>126</v>
      </c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 ht="21.0" customHeight="1">
      <c r="A484" s="52" t="str">
        <f>HYPERLINK("https://store.steampowered.com/app/369110/The_Swindle/","The Swindle")</f>
        <v>The Swindle</v>
      </c>
      <c r="B484" s="53">
        <v>2015.0</v>
      </c>
      <c r="C484" s="53" t="s">
        <v>123</v>
      </c>
      <c r="D484" s="57"/>
      <c r="E484" s="55" t="s">
        <v>126</v>
      </c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 ht="21.0" customHeight="1">
      <c r="A485" s="52" t="str">
        <f>HYPERLINK("https://www.humblebundle.com/store/the-swords-of-ditto?partner=seriouslyclara","The Swords of Ditto")</f>
        <v>The Swords of Ditto</v>
      </c>
      <c r="B485" s="53">
        <v>2018.0</v>
      </c>
      <c r="C485" s="53" t="s">
        <v>123</v>
      </c>
      <c r="D485" s="54" t="s">
        <v>442</v>
      </c>
      <c r="E485" s="55" t="s">
        <v>126</v>
      </c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 ht="21.0" customHeight="1">
      <c r="A486" s="52" t="str">
        <f>HYPERLINK("https://www.humblebundle.com/store/the-town-of-light?partner=seriouslyclara","The Town of Light")</f>
        <v>The Town of Light</v>
      </c>
      <c r="B486" s="53">
        <v>2016.0</v>
      </c>
      <c r="C486" s="53" t="s">
        <v>123</v>
      </c>
      <c r="D486" s="55"/>
      <c r="E486" s="55" t="s">
        <v>126</v>
      </c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 ht="21.0" customHeight="1">
      <c r="A487" s="52" t="str">
        <f>HYPERLINK("https://www.humblebundle.com/store/the-vanishing-of-ethan-carter?partner=seriouslyclara","The Vanishing of Ethan Carter")</f>
        <v>The Vanishing of Ethan Carter</v>
      </c>
      <c r="B487" s="53">
        <v>2014.0</v>
      </c>
      <c r="C487" s="53" t="s">
        <v>123</v>
      </c>
      <c r="D487" s="54" t="s">
        <v>443</v>
      </c>
      <c r="E487" s="55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 ht="21.0" customHeight="1">
      <c r="A488" s="55" t="s">
        <v>444</v>
      </c>
      <c r="B488" s="53">
        <v>2012.0</v>
      </c>
      <c r="C488" s="53" t="s">
        <v>123</v>
      </c>
      <c r="D488" s="55"/>
      <c r="E488" s="55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 ht="21.0" customHeight="1">
      <c r="A489" s="55" t="s">
        <v>445</v>
      </c>
      <c r="B489" s="53">
        <v>2014.0</v>
      </c>
      <c r="C489" s="53" t="s">
        <v>123</v>
      </c>
      <c r="D489" s="57"/>
      <c r="E489" s="55" t="s">
        <v>126</v>
      </c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 ht="21.0" customHeight="1">
      <c r="A490" s="52" t="str">
        <f>HYPERLINK("https://www.humblebundle.com/store/the-witness?partner=seriouslyclara","The Witness")</f>
        <v>The Witness</v>
      </c>
      <c r="B490" s="53">
        <v>2016.0</v>
      </c>
      <c r="C490" s="53" t="s">
        <v>123</v>
      </c>
      <c r="D490" s="54" t="s">
        <v>446</v>
      </c>
      <c r="E490" s="55" t="s">
        <v>126</v>
      </c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 ht="21.0" customHeight="1">
      <c r="A491" s="52" t="str">
        <f>HYPERLINK("https://www.humblebundle.com/store/the-wolf-among-us?partner=seriouslyclara","The Wolf Among Us")</f>
        <v>The Wolf Among Us</v>
      </c>
      <c r="B491" s="53">
        <v>2013.0</v>
      </c>
      <c r="C491" s="53" t="s">
        <v>123</v>
      </c>
      <c r="D491" s="57"/>
      <c r="E491" s="55" t="s">
        <v>126</v>
      </c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 ht="21.0" customHeight="1">
      <c r="A492" s="52" t="str">
        <f>HYPERLINK("https://www.humblebundle.com/store/the-yawhg?partner=seriouslyclara","The Yawhg")</f>
        <v>The Yawhg</v>
      </c>
      <c r="B492" s="53">
        <v>2013.0</v>
      </c>
      <c r="C492" s="53" t="s">
        <v>123</v>
      </c>
      <c r="D492" s="54" t="s">
        <v>447</v>
      </c>
      <c r="E492" s="55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 ht="21.0" customHeight="1">
      <c r="A493" s="52" t="str">
        <f>HYPERLINK("https://www.humblebundle.com/store/think-of-the-children?partner=seriouslyclara","Think of the Children")</f>
        <v>Think of the Children</v>
      </c>
      <c r="B493" s="53"/>
      <c r="C493" s="53" t="s">
        <v>123</v>
      </c>
      <c r="D493" s="55"/>
      <c r="E493" s="55" t="s">
        <v>126</v>
      </c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 ht="21.0" customHeight="1">
      <c r="A494" s="52" t="str">
        <f>HYPERLINK("https://www.humblebundle.com/store/this-is-the-police?partner=seriouslyclara","This Is the Police")</f>
        <v>This Is the Police</v>
      </c>
      <c r="B494" s="53">
        <v>2016.0</v>
      </c>
      <c r="C494" s="53" t="s">
        <v>123</v>
      </c>
      <c r="D494" s="54" t="s">
        <v>448</v>
      </c>
      <c r="E494" s="55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 ht="21.0" customHeight="1">
      <c r="A495" s="52" t="str">
        <f>HYPERLINK("https://www.humblebundle.com/store/this-war-of-mine-humble-deluxe-edition?partner=seriouslyclara","This War of Mine")</f>
        <v>This War of Mine</v>
      </c>
      <c r="B495" s="53">
        <v>2014.0</v>
      </c>
      <c r="C495" s="53" t="s">
        <v>123</v>
      </c>
      <c r="D495" s="55"/>
      <c r="E495" s="55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 ht="21.0" customHeight="1">
      <c r="A496" s="52" t="str">
        <f>HYPERLINK("https://www.humblebundle.com/store/thumper?partner=seriouslyclara","Thumper")</f>
        <v>Thumper</v>
      </c>
      <c r="B496" s="53">
        <v>2016.0</v>
      </c>
      <c r="C496" s="53" t="s">
        <v>123</v>
      </c>
      <c r="D496" s="54" t="s">
        <v>449</v>
      </c>
      <c r="E496" s="55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 ht="21.0" customHeight="1">
      <c r="A497" s="52" t="str">
        <f>HYPERLINK("https://www.humblebundle.com/store/tick-tock-bang-bang?partner=seriouslyclara","Tick Tock Bang Bang")</f>
        <v>Tick Tock Bang Bang</v>
      </c>
      <c r="B497" s="53">
        <v>2016.0</v>
      </c>
      <c r="C497" s="53" t="s">
        <v>123</v>
      </c>
      <c r="D497" s="57"/>
      <c r="E497" s="55" t="s">
        <v>126</v>
      </c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 ht="21.0" customHeight="1">
      <c r="A498" s="52" t="str">
        <f>HYPERLINK("https://www.humblebundle.com/store/timespinner?partner=seriouslyclara","Timespinner")</f>
        <v>Timespinner</v>
      </c>
      <c r="B498" s="53">
        <v>2018.0</v>
      </c>
      <c r="C498" s="53" t="s">
        <v>123</v>
      </c>
      <c r="D498" s="54" t="s">
        <v>450</v>
      </c>
      <c r="E498" s="55" t="s">
        <v>126</v>
      </c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 ht="21.0" customHeight="1">
      <c r="A499" s="52" t="str">
        <f>HYPERLINK("https://www.humblebundle.com/store/titan-souls?partner=seriouslyclara","Titan Souls")</f>
        <v>Titan Souls</v>
      </c>
      <c r="B499" s="53">
        <v>2015.0</v>
      </c>
      <c r="C499" s="53" t="s">
        <v>123</v>
      </c>
      <c r="D499" s="54" t="s">
        <v>451</v>
      </c>
      <c r="E499" s="55" t="s">
        <v>126</v>
      </c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 ht="21.0" customHeight="1">
      <c r="A500" s="52" t="str">
        <f>HYPERLINK("https://www.humblebundle.com/store/to-the-moon?partner=seriouslyclara","To the Moon")</f>
        <v>To the Moon</v>
      </c>
      <c r="B500" s="53">
        <v>2011.0</v>
      </c>
      <c r="C500" s="53" t="s">
        <v>123</v>
      </c>
      <c r="D500" s="57"/>
      <c r="E500" s="57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 ht="21.0" customHeight="1">
      <c r="A501" s="52" t="str">
        <f>HYPERLINK("https://www.humblebundle.com/store/tokyo-42?partner=seriouslyclara","Tokyo 42")</f>
        <v>Tokyo 42</v>
      </c>
      <c r="B501" s="53">
        <v>2017.0</v>
      </c>
      <c r="C501" s="53" t="s">
        <v>123</v>
      </c>
      <c r="D501" s="54" t="s">
        <v>452</v>
      </c>
      <c r="E501" s="55" t="s">
        <v>126</v>
      </c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 ht="21.0" customHeight="1">
      <c r="A502" s="52" t="str">
        <f>HYPERLINK("https://www.humblebundle.com/store/tooth-and-tail?partner=seriouslyclara","Tooth and Tail")</f>
        <v>Tooth and Tail</v>
      </c>
      <c r="B502" s="53">
        <v>2017.0</v>
      </c>
      <c r="C502" s="53" t="s">
        <v>123</v>
      </c>
      <c r="D502" s="57"/>
      <c r="E502" s="55" t="s">
        <v>126</v>
      </c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 ht="21.0" customHeight="1">
      <c r="A503" s="52" t="str">
        <f>HYPERLINK("https://www.humblebundle.com/store/tormentum-dark-sorrow?partner=seriouslyclara","Tormentum - Dark Sorrow")</f>
        <v>Tormentum - Dark Sorrow</v>
      </c>
      <c r="B503" s="53">
        <v>2015.0</v>
      </c>
      <c r="C503" s="53" t="s">
        <v>123</v>
      </c>
      <c r="D503" s="54" t="s">
        <v>453</v>
      </c>
      <c r="E503" s="55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 ht="21.0" customHeight="1">
      <c r="A504" s="55" t="s">
        <v>454</v>
      </c>
      <c r="B504" s="53"/>
      <c r="C504" s="53" t="s">
        <v>123</v>
      </c>
      <c r="D504" s="57"/>
      <c r="E504" s="55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 ht="21.0" customHeight="1">
      <c r="A505" s="52" t="str">
        <f>HYPERLINK("https://store.steampowered.com/app/237930/Transistor/","Transistor")</f>
        <v>Transistor</v>
      </c>
      <c r="B505" s="53">
        <v>2014.0</v>
      </c>
      <c r="C505" s="53" t="s">
        <v>123</v>
      </c>
      <c r="D505" s="57"/>
      <c r="E505" s="55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 ht="21.0" customHeight="1">
      <c r="A506" s="52" t="str">
        <f>HYPERLINK("https://www.humblebundle.com/store/treadnauts?partner=seriouslyclara","Treadnauts")</f>
        <v>Treadnauts</v>
      </c>
      <c r="B506" s="53">
        <v>2018.0</v>
      </c>
      <c r="C506" s="53" t="s">
        <v>123</v>
      </c>
      <c r="D506" s="54" t="s">
        <v>455</v>
      </c>
      <c r="E506" s="55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 ht="21.0" customHeight="1">
      <c r="A507" s="52" t="str">
        <f>HYPERLINK("https://www.humblebundle.com/store/trine-2-complete-story?partner=seriouslyclara","Trine 2: Complete Story")</f>
        <v>Trine 2: Complete Story</v>
      </c>
      <c r="B507" s="53">
        <v>2013.0</v>
      </c>
      <c r="C507" s="53" t="s">
        <v>123</v>
      </c>
      <c r="D507" s="57"/>
      <c r="E507" s="55" t="s">
        <v>126</v>
      </c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 ht="21.0" customHeight="1">
      <c r="A508" s="52" t="str">
        <f>HYPERLINK("https://www.humblebundle.com/store/trine-enchanted-edition?partner=seriouslyclara","Trine Enchanted Edition")</f>
        <v>Trine Enchanted Edition</v>
      </c>
      <c r="B508" s="53">
        <v>2009.0</v>
      </c>
      <c r="C508" s="53" t="s">
        <v>123</v>
      </c>
      <c r="D508" s="57"/>
      <c r="E508" s="55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 ht="21.0" customHeight="1">
      <c r="A509" s="52" t="str">
        <f>HYPERLINK("https://store.steampowered.com/app/304050/Trove/","Trove")</f>
        <v>Trove</v>
      </c>
      <c r="B509" s="53">
        <v>2015.0</v>
      </c>
      <c r="C509" s="53" t="s">
        <v>123</v>
      </c>
      <c r="D509" s="57"/>
      <c r="E509" s="57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 ht="21.0" customHeight="1">
      <c r="A510" s="52" t="str">
        <f>HYPERLINK("https://www.humblebundle.com/store/tumblestone?partner=seriouslyclara","Tumblestone")</f>
        <v>Tumblestone</v>
      </c>
      <c r="B510" s="53">
        <v>2016.0</v>
      </c>
      <c r="C510" s="53" t="s">
        <v>123</v>
      </c>
      <c r="D510" s="54" t="s">
        <v>456</v>
      </c>
      <c r="E510" s="55" t="s">
        <v>126</v>
      </c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 ht="21.0" customHeight="1">
      <c r="A511" s="52" t="str">
        <f>HYPERLINK("https://www.humblebundle.com/store/turmoil?partner=seriouslyclara","Turmoil")</f>
        <v>Turmoil</v>
      </c>
      <c r="B511" s="53">
        <v>2016.0</v>
      </c>
      <c r="C511" s="53" t="s">
        <v>123</v>
      </c>
      <c r="D511" s="54" t="s">
        <v>457</v>
      </c>
      <c r="E511" s="55" t="s">
        <v>126</v>
      </c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 ht="21.0" customHeight="1">
      <c r="A512" s="52" t="str">
        <f>HYPERLINK("https://www.humblebundle.com/store/two-point-hospital?partner=seriouslyclara","Two Point Hospital")</f>
        <v>Two Point Hospital</v>
      </c>
      <c r="B512" s="53">
        <v>2018.0</v>
      </c>
      <c r="C512" s="53" t="s">
        <v>123</v>
      </c>
      <c r="D512" s="54" t="s">
        <v>458</v>
      </c>
      <c r="E512" s="55" t="s">
        <v>126</v>
      </c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 ht="21.0" customHeight="1">
      <c r="A513" s="52" t="str">
        <f>HYPERLINK("https://www.humblebundle.com/store/typoman?partner=seriouslyclara","Typoman")</f>
        <v>Typoman</v>
      </c>
      <c r="B513" s="53">
        <v>2016.0</v>
      </c>
      <c r="C513" s="53" t="s">
        <v>123</v>
      </c>
      <c r="D513" s="57"/>
      <c r="E513" s="55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 ht="21.0" customHeight="1">
      <c r="A514" s="52" t="str">
        <f>HYPERLINK("https://www.humblebundle.com/store/tyranny-deluxe-edition?partner=seriouslyclara","Tyranny")</f>
        <v>Tyranny</v>
      </c>
      <c r="B514" s="53">
        <v>2016.0</v>
      </c>
      <c r="C514" s="53" t="s">
        <v>123</v>
      </c>
      <c r="D514" s="54" t="s">
        <v>459</v>
      </c>
      <c r="E514" s="55" t="s">
        <v>126</v>
      </c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 ht="21.0" customHeight="1">
      <c r="A515" s="52" t="str">
        <f>HYPERLINK("https://www.humblebundle.com/store/ultimate-chicken-horse?partner=seriouslyclara","Ultimate Chicken Horse")</f>
        <v>Ultimate Chicken Horse</v>
      </c>
      <c r="B515" s="53">
        <v>2016.0</v>
      </c>
      <c r="C515" s="53" t="s">
        <v>123</v>
      </c>
      <c r="D515" s="54" t="s">
        <v>460</v>
      </c>
      <c r="E515" s="55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 ht="21.0" customHeight="1">
      <c r="A516" s="52" t="str">
        <f>HYPERLINK("https://store.steampowered.com/app/219190/Ultratron/","Ultratron")</f>
        <v>Ultratron</v>
      </c>
      <c r="B516" s="53">
        <v>2013.0</v>
      </c>
      <c r="C516" s="53" t="s">
        <v>123</v>
      </c>
      <c r="D516" s="57"/>
      <c r="E516" s="55" t="s">
        <v>126</v>
      </c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 ht="21.0" customHeight="1">
      <c r="A517" s="52" t="str">
        <f>HYPERLINK("https://store.steampowered.com/app/573320/Underhero/","Underhero")</f>
        <v>Underhero</v>
      </c>
      <c r="B517" s="53">
        <v>2018.0</v>
      </c>
      <c r="C517" s="53" t="s">
        <v>123</v>
      </c>
      <c r="D517" s="54" t="s">
        <v>461</v>
      </c>
      <c r="E517" s="55" t="s">
        <v>126</v>
      </c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 ht="21.0" customHeight="1">
      <c r="A518" s="52" t="str">
        <f>HYPERLINK("https://www.humblebundle.com/store/undertale?partner=seriouslyclara","Undertale")</f>
        <v>Undertale</v>
      </c>
      <c r="B518" s="53">
        <v>2015.0</v>
      </c>
      <c r="C518" s="53" t="s">
        <v>123</v>
      </c>
      <c r="D518" s="57"/>
      <c r="E518" s="57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 ht="21.0" customHeight="1">
      <c r="A519" s="52" t="str">
        <f>HYPERLINK("https://www.humblebundle.com/store/uurnog-uurnlimited?partner=seriouslyclara","Uurnog Uurnlimited")</f>
        <v>Uurnog Uurnlimited</v>
      </c>
      <c r="B519" s="53">
        <v>2017.0</v>
      </c>
      <c r="C519" s="53" t="s">
        <v>123</v>
      </c>
      <c r="D519" s="54" t="s">
        <v>462</v>
      </c>
      <c r="E519" s="55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 ht="21.0" customHeight="1">
      <c r="A520" s="52" t="str">
        <f>HYPERLINK("https://www.humblebundle.com/store/valdis-story-abyssal-city?partner=seriouslyclara","Valdis Story: Abyssal City")</f>
        <v>Valdis Story: Abyssal City</v>
      </c>
      <c r="B520" s="53">
        <v>2013.0</v>
      </c>
      <c r="C520" s="53" t="s">
        <v>123</v>
      </c>
      <c r="D520" s="57"/>
      <c r="E520" s="55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 ht="21.0" customHeight="1">
      <c r="A521" s="52" t="str">
        <f>HYPERLINK("https://www.humblebundle.com/store/valhalla-hills?partner=seriouslyclara","Valhalla Hills")</f>
        <v>Valhalla Hills</v>
      </c>
      <c r="B521" s="53">
        <v>2015.0</v>
      </c>
      <c r="C521" s="53" t="s">
        <v>123</v>
      </c>
      <c r="D521" s="54" t="s">
        <v>463</v>
      </c>
      <c r="E521" s="55" t="s">
        <v>126</v>
      </c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 ht="21.0" customHeight="1">
      <c r="A522" s="52" t="str">
        <f>HYPERLINK("https://www.humblebundle.com/store/valiant-hearts-the-great-war?partner=seriouslyclara","Valiant Hearts: The Great War")</f>
        <v>Valiant Hearts: The Great War</v>
      </c>
      <c r="B522" s="53">
        <v>2014.0</v>
      </c>
      <c r="C522" s="53" t="s">
        <v>123</v>
      </c>
      <c r="D522" s="57"/>
      <c r="E522" s="55" t="s">
        <v>126</v>
      </c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 ht="21.0" customHeight="1">
      <c r="A523" s="52" t="str">
        <f>HYPERLINK("https://www.humblebundle.com/store/viking-squad?partner=seriouslyclara","Viking Squad")</f>
        <v>Viking Squad</v>
      </c>
      <c r="B523" s="53">
        <v>2016.0</v>
      </c>
      <c r="C523" s="53" t="s">
        <v>123</v>
      </c>
      <c r="D523" s="57"/>
      <c r="E523" s="55" t="s">
        <v>126</v>
      </c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 ht="21.0" customHeight="1">
      <c r="A524" s="52" t="str">
        <f>HYPERLINK("https://www.humblebundle.com/store/viscera-cleanup-detail?partner=seriouslyclara","Viscera Cleanup Detail")</f>
        <v>Viscera Cleanup Detail</v>
      </c>
      <c r="B524" s="53">
        <v>2015.0</v>
      </c>
      <c r="C524" s="53" t="s">
        <v>123</v>
      </c>
      <c r="D524" s="57"/>
      <c r="E524" s="55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 ht="21.0" customHeight="1">
      <c r="A525" s="52" t="str">
        <f>HYPERLINK("https://www.humblebundle.com/store/volgarr-the-viking?partner=seriouslyclara","Volgarr the Viking")</f>
        <v>Volgarr the Viking</v>
      </c>
      <c r="B525" s="53">
        <v>2013.0</v>
      </c>
      <c r="C525" s="53" t="s">
        <v>123</v>
      </c>
      <c r="D525" s="54" t="s">
        <v>464</v>
      </c>
      <c r="E525" s="55" t="s">
        <v>126</v>
      </c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 ht="21.0" customHeight="1">
      <c r="A526" s="52" t="str">
        <f>HYPERLINK("https://www.humblebundle.com/store/vvvvvv?partner=seriouslyclara","VVVVVV")</f>
        <v>VVVVVV</v>
      </c>
      <c r="B526" s="53">
        <v>2010.0</v>
      </c>
      <c r="C526" s="53" t="s">
        <v>123</v>
      </c>
      <c r="D526" s="57"/>
      <c r="E526" s="55" t="s">
        <v>126</v>
      </c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 ht="21.0" customHeight="1">
      <c r="A527" s="52" t="str">
        <f>HYPERLINK("https://www.humblebundle.com/store/wanderlust-adventures?partner=seriouslyclara","Wanderlust Adventures")</f>
        <v>Wanderlust Adventures</v>
      </c>
      <c r="B527" s="53">
        <v>2015.0</v>
      </c>
      <c r="C527" s="53" t="s">
        <v>123</v>
      </c>
      <c r="D527" s="57"/>
      <c r="E527" s="55" t="s">
        <v>126</v>
      </c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 ht="21.0" customHeight="1">
      <c r="A528" s="52" t="str">
        <f>HYPERLINK("https://www.humblebundle.com/store/wanderlust-rebirth?partner=seriouslyclara","Wanderlust: Rebirth")</f>
        <v>Wanderlust: Rebirth</v>
      </c>
      <c r="B528" s="53">
        <v>2011.0</v>
      </c>
      <c r="C528" s="53" t="s">
        <v>123</v>
      </c>
      <c r="D528" s="57"/>
      <c r="E528" s="57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 ht="21.0" customHeight="1">
      <c r="A529" s="52" t="str">
        <f>HYPERLINK("https://www.humblebundle.com/store/wandersong?partner=seriouslyclara","Wandersong")</f>
        <v>Wandersong</v>
      </c>
      <c r="B529" s="53">
        <v>2018.0</v>
      </c>
      <c r="C529" s="53" t="s">
        <v>123</v>
      </c>
      <c r="D529" s="54" t="s">
        <v>465</v>
      </c>
      <c r="E529" s="55" t="s">
        <v>126</v>
      </c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 ht="21.0" customHeight="1">
      <c r="A530" s="52" t="str">
        <f>HYPERLINK("https://www.humblebundle.com/store/wargroove?partner=seriouslyclara","Wargroove")</f>
        <v>Wargroove</v>
      </c>
      <c r="B530" s="53">
        <v>2019.0</v>
      </c>
      <c r="C530" s="53" t="s">
        <v>123</v>
      </c>
      <c r="D530" s="54" t="s">
        <v>466</v>
      </c>
      <c r="E530" s="55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 ht="21.0" customHeight="1">
      <c r="A531" s="52" t="str">
        <f>HYPERLINK("https://www.humblebundle.com/store/warhammer-end-times-vermintide?partner=seriouslyclara","Warhammer: End Times - Vermintide")</f>
        <v>Warhammer: End Times - Vermintide</v>
      </c>
      <c r="B531" s="53">
        <v>2015.0</v>
      </c>
      <c r="C531" s="53" t="s">
        <v>123</v>
      </c>
      <c r="D531" s="57"/>
      <c r="E531" s="55" t="s">
        <v>126</v>
      </c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 ht="21.0" customHeight="1">
      <c r="A532" s="52" t="str">
        <f>HYPERLINK("https://store.steampowered.com/app/597220/West_of_Loathing/","West of Loathing")</f>
        <v>West of Loathing</v>
      </c>
      <c r="B532" s="53">
        <v>2017.0</v>
      </c>
      <c r="C532" s="53" t="s">
        <v>123</v>
      </c>
      <c r="D532" s="54" t="s">
        <v>467</v>
      </c>
      <c r="E532" s="55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 ht="21.0" customHeight="1">
      <c r="A533" s="52" t="str">
        <f>HYPERLINK("https://www.humblebundle.com/store/westerado-double-barreled?partner=seriouslyclara","Westerado: Double Barreled")</f>
        <v>Westerado: Double Barreled</v>
      </c>
      <c r="B533" s="53">
        <v>2015.0</v>
      </c>
      <c r="C533" s="53" t="s">
        <v>123</v>
      </c>
      <c r="D533" s="57"/>
      <c r="E533" s="57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 ht="21.0" customHeight="1">
      <c r="A534" s="52" t="str">
        <f>HYPERLINK("https://store.steampowered.com/app/501300/What_Remains_of_Edith_Finch/","What Remains of Edith Finch")</f>
        <v>What Remains of Edith Finch</v>
      </c>
      <c r="B534" s="53">
        <v>2017.0</v>
      </c>
      <c r="C534" s="53" t="s">
        <v>123</v>
      </c>
      <c r="D534" s="54" t="s">
        <v>468</v>
      </c>
      <c r="E534" s="55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 ht="21.0" customHeight="1">
      <c r="A535" s="52" t="str">
        <f>HYPERLINK("https://www.humblebundle.com/store/white-night?partner=seriouslyclara","White Night")</f>
        <v>White Night</v>
      </c>
      <c r="B535" s="53">
        <v>2015.0</v>
      </c>
      <c r="C535" s="53" t="s">
        <v>123</v>
      </c>
      <c r="D535" s="54" t="s">
        <v>469</v>
      </c>
      <c r="E535" s="55" t="s">
        <v>126</v>
      </c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 ht="21.0" customHeight="1">
      <c r="A536" s="52" t="str">
        <f>HYPERLINK("https://store.steampowered.com/app/418300/Wick/","Wick")</f>
        <v>Wick</v>
      </c>
      <c r="B536" s="53">
        <v>2015.0</v>
      </c>
      <c r="C536" s="53" t="s">
        <v>123</v>
      </c>
      <c r="D536" s="54" t="s">
        <v>470</v>
      </c>
      <c r="E536" s="55" t="s">
        <v>126</v>
      </c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 ht="21.0" customHeight="1">
      <c r="A537" s="55" t="s">
        <v>471</v>
      </c>
      <c r="B537" s="53"/>
      <c r="C537" s="53" t="s">
        <v>123</v>
      </c>
      <c r="D537" s="57"/>
      <c r="E537" s="55" t="s">
        <v>126</v>
      </c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 ht="21.0" customHeight="1">
      <c r="A538" s="52" t="str">
        <f>HYPERLINK("https://www.humblebundle.com/store/wizard-of-legend?partner=seriouslyclara","Wizard of Legend")</f>
        <v>Wizard of Legend</v>
      </c>
      <c r="B538" s="53">
        <v>2018.0</v>
      </c>
      <c r="C538" s="53" t="s">
        <v>123</v>
      </c>
      <c r="D538" s="54" t="s">
        <v>472</v>
      </c>
      <c r="E538" s="55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 ht="21.0" customHeight="1">
      <c r="A539" s="52" t="str">
        <f>HYPERLINK("https://www.humblebundle.com/store/wonder-boy-the-dragons-trap?partner=seriouslyclara","Wonder Boy: The Dragon's Trap")</f>
        <v>Wonder Boy: The Dragon's Trap</v>
      </c>
      <c r="B539" s="53">
        <v>2017.0</v>
      </c>
      <c r="C539" s="53" t="s">
        <v>123</v>
      </c>
      <c r="D539" s="54" t="s">
        <v>473</v>
      </c>
      <c r="E539" s="55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 ht="21.0" customHeight="1">
      <c r="A540" s="52" t="str">
        <f>HYPERLINK("https://store.steampowered.com/app/598480/World_of_One/","World of One")</f>
        <v>World of One</v>
      </c>
      <c r="B540" s="53">
        <v>2017.0</v>
      </c>
      <c r="C540" s="53" t="s">
        <v>123</v>
      </c>
      <c r="D540" s="54" t="s">
        <v>474</v>
      </c>
      <c r="E540" s="55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 ht="21.0" customHeight="1">
      <c r="A541" s="55" t="s">
        <v>475</v>
      </c>
      <c r="B541" s="53"/>
      <c r="C541" s="53" t="s">
        <v>123</v>
      </c>
      <c r="D541" s="57"/>
      <c r="E541" s="55" t="s">
        <v>126</v>
      </c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 ht="21.0" customHeight="1">
      <c r="A542" s="52" t="str">
        <f>HYPERLINK("https://www.humblebundle.com/store/worlds-dawn?partner=seriouslyclara","World's Dawn")</f>
        <v>World's Dawn</v>
      </c>
      <c r="B542" s="53">
        <v>2016.0</v>
      </c>
      <c r="C542" s="53" t="s">
        <v>123</v>
      </c>
      <c r="D542" s="57"/>
      <c r="E542" s="55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 ht="21.0" customHeight="1">
      <c r="A543" s="52" t="str">
        <f>HYPERLINK("https://store.steampowered.com/app/587180/Wulverblade/","Wulverblade")</f>
        <v>Wulverblade</v>
      </c>
      <c r="B543" s="53">
        <v>2018.0</v>
      </c>
      <c r="C543" s="53" t="s">
        <v>123</v>
      </c>
      <c r="D543" s="54" t="s">
        <v>476</v>
      </c>
      <c r="E543" s="57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 ht="21.0" customHeight="1">
      <c r="A544" s="52" t="str">
        <f>HYPERLINK("https://www.humblebundle.com/store/year-walk?partner=seriouslyclara","Year Walk")</f>
        <v>Year Walk</v>
      </c>
      <c r="B544" s="53">
        <v>2014.0</v>
      </c>
      <c r="C544" s="53" t="s">
        <v>123</v>
      </c>
      <c r="D544" s="57"/>
      <c r="E544" s="55" t="s">
        <v>126</v>
      </c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 ht="21.0" customHeight="1">
      <c r="A545" s="52" t="str">
        <f>HYPERLINK("https://www.humblebundle.com/store/yokus-island-express?partner=seriouslyclara","Yoku's Island Express")</f>
        <v>Yoku's Island Express</v>
      </c>
      <c r="B545" s="53">
        <v>2018.0</v>
      </c>
      <c r="C545" s="53" t="s">
        <v>123</v>
      </c>
      <c r="D545" s="54" t="s">
        <v>477</v>
      </c>
      <c r="E545" s="55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 ht="21.0" customHeight="1">
      <c r="A546" s="52" t="str">
        <f>HYPERLINK("https://www.humblebundle.com/store/yomawari-night-alone?partner=seriouslyclara","Yomawari: Night Alone")</f>
        <v>Yomawari: Night Alone</v>
      </c>
      <c r="B546" s="53">
        <v>2016.0</v>
      </c>
      <c r="C546" s="53" t="s">
        <v>123</v>
      </c>
      <c r="D546" s="54" t="s">
        <v>478</v>
      </c>
      <c r="E546" s="55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 ht="21.0" customHeight="1">
      <c r="A547" s="52" t="str">
        <f>HYPERLINK("https://store.steampowered.com/app/580200/Yonder_The_Cloud_Catcher_Chronicles/","Yonder: The Cloud Catcher Chronicles")</f>
        <v>Yonder: The Cloud Catcher Chronicles</v>
      </c>
      <c r="B547" s="53">
        <v>2017.0</v>
      </c>
      <c r="C547" s="53" t="s">
        <v>123</v>
      </c>
      <c r="D547" s="54" t="s">
        <v>479</v>
      </c>
      <c r="E547" s="55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 ht="21.0" customHeight="1">
      <c r="A548" s="52" t="str">
        <f>HYPERLINK("https://www.humblebundle.com/store/yono-and-the-celestial-elephants?partner=seriouslyclara","Yono and the Celestial Elephants")</f>
        <v>Yono and the Celestial Elephants</v>
      </c>
      <c r="B548" s="53">
        <v>2017.0</v>
      </c>
      <c r="C548" s="53" t="s">
        <v>123</v>
      </c>
      <c r="D548" s="54" t="s">
        <v>480</v>
      </c>
      <c r="E548" s="55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 ht="21.0" customHeight="1">
      <c r="A549" s="52" t="str">
        <f>HYPERLINK("https://www.humblebundle.com/store/yooka-laylee?partner=seriouslyclara","Yooka-Laylee")</f>
        <v>Yooka-Laylee</v>
      </c>
      <c r="B549" s="53">
        <v>2017.0</v>
      </c>
      <c r="C549" s="53" t="s">
        <v>123</v>
      </c>
      <c r="D549" s="54" t="s">
        <v>481</v>
      </c>
      <c r="E549" s="55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 ht="21.0" customHeight="1">
      <c r="A550" s="52" t="str">
        <f>HYPERLINK("https://store.steampowered.com/app/765210/Your_Royal_Gayness/","Your Royal Gayness")</f>
        <v>Your Royal Gayness</v>
      </c>
      <c r="B550" s="53">
        <v>2018.0</v>
      </c>
      <c r="C550" s="53" t="s">
        <v>123</v>
      </c>
      <c r="D550" s="54" t="s">
        <v>482</v>
      </c>
      <c r="E550" s="55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 ht="21.0" customHeight="1">
      <c r="A551" s="52" t="str">
        <f>HYPERLINK("https://store.steampowered.com/app/215550/Zombie_Playground/","Zombie Playground")</f>
        <v>Zombie Playground</v>
      </c>
      <c r="B551" s="53">
        <v>2016.0</v>
      </c>
      <c r="C551" s="53" t="s">
        <v>123</v>
      </c>
      <c r="D551" s="57"/>
      <c r="E551" s="55" t="s">
        <v>126</v>
      </c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 ht="21.0" customHeight="1">
      <c r="A552" s="52" t="str">
        <f>HYPERLINK("https://www.humblebundle.com/store/zombie-vikings?partner=seriouslyclara","Zombie Vikings")</f>
        <v>Zombie Vikings</v>
      </c>
      <c r="B552" s="53">
        <v>2017.0</v>
      </c>
      <c r="C552" s="53" t="s">
        <v>123</v>
      </c>
      <c r="D552" s="57"/>
      <c r="E552" s="55" t="s">
        <v>126</v>
      </c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 ht="21.0" customHeight="1">
      <c r="A553" s="55"/>
      <c r="B553" s="60"/>
      <c r="C553" s="60"/>
      <c r="D553" s="57"/>
      <c r="E553" s="57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 ht="21.0" customHeight="1">
      <c r="A554" s="55"/>
      <c r="B554" s="60"/>
      <c r="C554" s="60"/>
      <c r="D554" s="57"/>
      <c r="E554" s="57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 ht="21.0" customHeight="1">
      <c r="A555" s="55"/>
      <c r="B555" s="60"/>
      <c r="C555" s="60"/>
      <c r="D555" s="57"/>
      <c r="E555" s="57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 ht="21.0" customHeight="1">
      <c r="A556" s="55"/>
      <c r="B556" s="60"/>
      <c r="C556" s="60"/>
      <c r="D556" s="57"/>
      <c r="E556" s="57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 ht="21.0" customHeight="1">
      <c r="A557" s="55"/>
      <c r="B557" s="60"/>
      <c r="C557" s="60"/>
      <c r="D557" s="57"/>
      <c r="E557" s="57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 ht="21.0" customHeight="1">
      <c r="A558" s="55"/>
      <c r="B558" s="60"/>
      <c r="C558" s="60"/>
      <c r="D558" s="57"/>
      <c r="E558" s="57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 ht="21.0" customHeight="1">
      <c r="A559" s="55"/>
      <c r="B559" s="60"/>
      <c r="C559" s="60"/>
      <c r="D559" s="57"/>
      <c r="E559" s="57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 ht="21.0" customHeight="1">
      <c r="A560" s="55"/>
      <c r="B560" s="60"/>
      <c r="C560" s="60"/>
      <c r="D560" s="57"/>
      <c r="E560" s="57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 ht="21.0" customHeight="1">
      <c r="A561" s="55"/>
      <c r="B561" s="60"/>
      <c r="C561" s="60"/>
      <c r="D561" s="57"/>
      <c r="E561" s="57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 ht="21.0" customHeight="1">
      <c r="A562" s="55"/>
      <c r="B562" s="60"/>
      <c r="C562" s="60"/>
      <c r="D562" s="57"/>
      <c r="E562" s="57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 ht="21.0" customHeight="1">
      <c r="A563" s="55"/>
      <c r="B563" s="60"/>
      <c r="C563" s="60"/>
      <c r="D563" s="57"/>
      <c r="E563" s="57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 ht="21.0" customHeight="1">
      <c r="A564" s="55"/>
      <c r="B564" s="60"/>
      <c r="C564" s="60"/>
      <c r="D564" s="57"/>
      <c r="E564" s="57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 ht="21.0" customHeight="1">
      <c r="A565" s="55"/>
      <c r="B565" s="60"/>
      <c r="C565" s="60"/>
      <c r="D565" s="57"/>
      <c r="E565" s="57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 ht="21.0" customHeight="1">
      <c r="A566" s="55"/>
      <c r="B566" s="60"/>
      <c r="C566" s="60"/>
      <c r="D566" s="57"/>
      <c r="E566" s="57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 ht="21.0" customHeight="1">
      <c r="A567" s="55"/>
      <c r="B567" s="60"/>
      <c r="C567" s="60"/>
      <c r="D567" s="57"/>
      <c r="E567" s="57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 ht="21.0" customHeight="1">
      <c r="A568" s="55"/>
      <c r="B568" s="60"/>
      <c r="C568" s="60"/>
      <c r="D568" s="57"/>
      <c r="E568" s="57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 ht="21.0" customHeight="1">
      <c r="A569" s="55"/>
      <c r="B569" s="60"/>
      <c r="C569" s="60"/>
      <c r="D569" s="57"/>
      <c r="E569" s="57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 ht="21.0" customHeight="1">
      <c r="A570" s="55"/>
      <c r="B570" s="60"/>
      <c r="C570" s="60"/>
      <c r="D570" s="57"/>
      <c r="E570" s="57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 ht="21.0" customHeight="1">
      <c r="A571" s="55"/>
      <c r="B571" s="60"/>
      <c r="C571" s="60"/>
      <c r="D571" s="57"/>
      <c r="E571" s="57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 ht="21.0" customHeight="1">
      <c r="A572" s="55"/>
      <c r="B572" s="60"/>
      <c r="C572" s="60"/>
      <c r="D572" s="57"/>
      <c r="E572" s="57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 ht="21.0" customHeight="1">
      <c r="A573" s="55"/>
      <c r="B573" s="60"/>
      <c r="C573" s="60"/>
      <c r="D573" s="57"/>
      <c r="E573" s="57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 ht="21.0" customHeight="1">
      <c r="A574" s="55"/>
      <c r="B574" s="60"/>
      <c r="C574" s="60"/>
      <c r="D574" s="57"/>
      <c r="E574" s="57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 ht="21.0" customHeight="1">
      <c r="A575" s="55"/>
      <c r="B575" s="60"/>
      <c r="C575" s="60"/>
      <c r="D575" s="57"/>
      <c r="E575" s="57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 ht="21.0" customHeight="1">
      <c r="A576" s="55"/>
      <c r="B576" s="60"/>
      <c r="C576" s="60"/>
      <c r="D576" s="57"/>
      <c r="E576" s="57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 ht="21.0" customHeight="1">
      <c r="A577" s="55"/>
      <c r="B577" s="60"/>
      <c r="C577" s="60"/>
      <c r="D577" s="57"/>
      <c r="E577" s="57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 ht="21.0" customHeight="1">
      <c r="A578" s="55"/>
      <c r="B578" s="60"/>
      <c r="C578" s="60"/>
      <c r="D578" s="57"/>
      <c r="E578" s="57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 ht="21.0" customHeight="1">
      <c r="A579" s="55"/>
      <c r="B579" s="60"/>
      <c r="C579" s="60"/>
      <c r="D579" s="57"/>
      <c r="E579" s="57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 ht="21.0" customHeight="1">
      <c r="A580" s="55"/>
      <c r="B580" s="60"/>
      <c r="C580" s="60"/>
      <c r="D580" s="57"/>
      <c r="E580" s="57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 ht="21.0" customHeight="1">
      <c r="A581" s="55"/>
      <c r="B581" s="60"/>
      <c r="C581" s="60"/>
      <c r="D581" s="57"/>
      <c r="E581" s="57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 ht="21.0" customHeight="1">
      <c r="A582" s="55"/>
      <c r="B582" s="60"/>
      <c r="C582" s="60"/>
      <c r="D582" s="57"/>
      <c r="E582" s="57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 ht="21.0" customHeight="1">
      <c r="A583" s="55"/>
      <c r="B583" s="60"/>
      <c r="C583" s="60"/>
      <c r="D583" s="57"/>
      <c r="E583" s="57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 ht="21.0" customHeight="1">
      <c r="A584" s="55"/>
      <c r="B584" s="60"/>
      <c r="C584" s="60"/>
      <c r="D584" s="57"/>
      <c r="E584" s="57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 ht="21.0" customHeight="1">
      <c r="A585" s="55"/>
      <c r="B585" s="60"/>
      <c r="C585" s="60"/>
      <c r="D585" s="57"/>
      <c r="E585" s="57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 ht="21.0" customHeight="1">
      <c r="A586" s="55"/>
      <c r="B586" s="60"/>
      <c r="C586" s="60"/>
      <c r="D586" s="57"/>
      <c r="E586" s="57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 ht="21.0" customHeight="1">
      <c r="A587" s="55"/>
      <c r="B587" s="60"/>
      <c r="C587" s="60"/>
      <c r="D587" s="57"/>
      <c r="E587" s="57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 ht="21.0" customHeight="1">
      <c r="A588" s="55"/>
      <c r="B588" s="60"/>
      <c r="C588" s="60"/>
      <c r="D588" s="57"/>
      <c r="E588" s="57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 ht="21.0" customHeight="1">
      <c r="A589" s="55"/>
      <c r="B589" s="60"/>
      <c r="C589" s="60"/>
      <c r="D589" s="57"/>
      <c r="E589" s="57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 ht="21.0" customHeight="1">
      <c r="A590" s="55"/>
      <c r="B590" s="60"/>
      <c r="C590" s="60"/>
      <c r="D590" s="57"/>
      <c r="E590" s="57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 ht="21.0" customHeight="1">
      <c r="A591" s="55"/>
      <c r="B591" s="60"/>
      <c r="C591" s="60"/>
      <c r="D591" s="57"/>
      <c r="E591" s="57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 ht="21.0" customHeight="1">
      <c r="A592" s="55"/>
      <c r="B592" s="60"/>
      <c r="C592" s="60"/>
      <c r="D592" s="57"/>
      <c r="E592" s="57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 ht="21.0" customHeight="1">
      <c r="A593" s="55"/>
      <c r="B593" s="60"/>
      <c r="C593" s="60"/>
      <c r="D593" s="57"/>
      <c r="E593" s="57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 ht="21.0" customHeight="1">
      <c r="A594" s="55"/>
      <c r="B594" s="60"/>
      <c r="C594" s="60"/>
      <c r="D594" s="57"/>
      <c r="E594" s="57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 ht="21.0" customHeight="1">
      <c r="A595" s="55"/>
      <c r="B595" s="60"/>
      <c r="C595" s="60"/>
      <c r="D595" s="57"/>
      <c r="E595" s="57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 ht="21.0" customHeight="1">
      <c r="A596" s="55"/>
      <c r="B596" s="60"/>
      <c r="C596" s="60"/>
      <c r="D596" s="57"/>
      <c r="E596" s="57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 ht="21.0" customHeight="1">
      <c r="A597" s="55"/>
      <c r="B597" s="60"/>
      <c r="C597" s="60"/>
      <c r="D597" s="57"/>
      <c r="E597" s="57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 ht="21.0" customHeight="1">
      <c r="A598" s="55"/>
      <c r="B598" s="60"/>
      <c r="C598" s="60"/>
      <c r="D598" s="57"/>
      <c r="E598" s="57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 ht="21.0" customHeight="1">
      <c r="A599" s="55"/>
      <c r="B599" s="60"/>
      <c r="C599" s="60"/>
      <c r="D599" s="57"/>
      <c r="E599" s="57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 ht="21.0" customHeight="1">
      <c r="A600" s="55"/>
      <c r="B600" s="60"/>
      <c r="C600" s="60"/>
      <c r="D600" s="57"/>
      <c r="E600" s="57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 ht="21.0" customHeight="1">
      <c r="A601" s="55"/>
      <c r="B601" s="60"/>
      <c r="C601" s="60"/>
      <c r="D601" s="57"/>
      <c r="E601" s="57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 ht="21.0" customHeight="1">
      <c r="A602" s="55"/>
      <c r="B602" s="60"/>
      <c r="C602" s="60"/>
      <c r="D602" s="57"/>
      <c r="E602" s="57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 ht="21.0" customHeight="1">
      <c r="A603" s="55"/>
      <c r="B603" s="60"/>
      <c r="C603" s="60"/>
      <c r="D603" s="57"/>
      <c r="E603" s="57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 ht="21.0" customHeight="1">
      <c r="A604" s="55"/>
      <c r="B604" s="60"/>
      <c r="C604" s="60"/>
      <c r="D604" s="57"/>
      <c r="E604" s="57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 ht="21.0" customHeight="1">
      <c r="A605" s="55"/>
      <c r="B605" s="60"/>
      <c r="C605" s="60"/>
      <c r="D605" s="57"/>
      <c r="E605" s="57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 ht="21.0" customHeight="1">
      <c r="A606" s="55"/>
      <c r="B606" s="60"/>
      <c r="C606" s="60"/>
      <c r="D606" s="57"/>
      <c r="E606" s="57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 ht="21.0" customHeight="1">
      <c r="A607" s="55"/>
      <c r="B607" s="60"/>
      <c r="C607" s="60"/>
      <c r="D607" s="57"/>
      <c r="E607" s="57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 ht="21.0" customHeight="1">
      <c r="A608" s="55"/>
      <c r="B608" s="60"/>
      <c r="C608" s="60"/>
      <c r="D608" s="57"/>
      <c r="E608" s="57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 ht="21.0" customHeight="1">
      <c r="A609" s="55"/>
      <c r="B609" s="60"/>
      <c r="C609" s="60"/>
      <c r="D609" s="57"/>
      <c r="E609" s="57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 ht="21.0" customHeight="1">
      <c r="A610" s="55"/>
      <c r="B610" s="60"/>
      <c r="C610" s="60"/>
      <c r="D610" s="57"/>
      <c r="E610" s="57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 ht="21.0" customHeight="1">
      <c r="A611" s="55"/>
      <c r="B611" s="60"/>
      <c r="C611" s="60"/>
      <c r="D611" s="57"/>
      <c r="E611" s="57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 ht="21.0" customHeight="1">
      <c r="A612" s="55"/>
      <c r="B612" s="60"/>
      <c r="C612" s="60"/>
      <c r="D612" s="57"/>
      <c r="E612" s="57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 ht="21.0" customHeight="1">
      <c r="A613" s="55"/>
      <c r="B613" s="60"/>
      <c r="C613" s="60"/>
      <c r="D613" s="57"/>
      <c r="E613" s="57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 ht="21.0" customHeight="1">
      <c r="A614" s="55"/>
      <c r="B614" s="60"/>
      <c r="C614" s="60"/>
      <c r="D614" s="57"/>
      <c r="E614" s="57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 ht="21.0" customHeight="1">
      <c r="A615" s="55"/>
      <c r="B615" s="60"/>
      <c r="C615" s="60"/>
      <c r="D615" s="57"/>
      <c r="E615" s="57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 ht="21.0" customHeight="1">
      <c r="A616" s="55"/>
      <c r="B616" s="60"/>
      <c r="C616" s="60"/>
      <c r="D616" s="57"/>
      <c r="E616" s="57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 ht="21.0" customHeight="1">
      <c r="A617" s="55"/>
      <c r="B617" s="60"/>
      <c r="C617" s="60"/>
      <c r="D617" s="57"/>
      <c r="E617" s="57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 ht="21.0" customHeight="1">
      <c r="A618" s="55"/>
      <c r="B618" s="60"/>
      <c r="C618" s="60"/>
      <c r="D618" s="57"/>
      <c r="E618" s="57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 ht="21.0" customHeight="1">
      <c r="A619" s="55"/>
      <c r="B619" s="60"/>
      <c r="C619" s="60"/>
      <c r="D619" s="57"/>
      <c r="E619" s="57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 ht="21.0" customHeight="1">
      <c r="A620" s="55"/>
      <c r="B620" s="60"/>
      <c r="C620" s="60"/>
      <c r="D620" s="57"/>
      <c r="E620" s="57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 ht="21.0" customHeight="1">
      <c r="A621" s="55"/>
      <c r="B621" s="60"/>
      <c r="C621" s="60"/>
      <c r="D621" s="57"/>
      <c r="E621" s="57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 ht="21.0" customHeight="1">
      <c r="A622" s="55"/>
      <c r="B622" s="60"/>
      <c r="C622" s="60"/>
      <c r="D622" s="57"/>
      <c r="E622" s="57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 ht="21.0" customHeight="1">
      <c r="A623" s="55"/>
      <c r="B623" s="60"/>
      <c r="C623" s="60"/>
      <c r="D623" s="57"/>
      <c r="E623" s="57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 ht="21.0" customHeight="1">
      <c r="A624" s="55"/>
      <c r="B624" s="60"/>
      <c r="C624" s="60"/>
      <c r="D624" s="57"/>
      <c r="E624" s="57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 ht="21.0" customHeight="1">
      <c r="A625" s="55"/>
      <c r="B625" s="60"/>
      <c r="C625" s="60"/>
      <c r="D625" s="57"/>
      <c r="E625" s="57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 ht="21.0" customHeight="1">
      <c r="A626" s="55"/>
      <c r="B626" s="60"/>
      <c r="C626" s="60"/>
      <c r="D626" s="57"/>
      <c r="E626" s="57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 ht="21.0" customHeight="1">
      <c r="A627" s="55"/>
      <c r="B627" s="60"/>
      <c r="C627" s="60"/>
      <c r="D627" s="57"/>
      <c r="E627" s="57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 ht="21.0" customHeight="1">
      <c r="A628" s="55"/>
      <c r="B628" s="60"/>
      <c r="C628" s="60"/>
      <c r="D628" s="57"/>
      <c r="E628" s="57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 ht="21.0" customHeight="1">
      <c r="A629" s="55"/>
      <c r="B629" s="60"/>
      <c r="C629" s="60"/>
      <c r="D629" s="57"/>
      <c r="E629" s="57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 ht="21.0" customHeight="1">
      <c r="A630" s="55"/>
      <c r="B630" s="60"/>
      <c r="C630" s="60"/>
      <c r="D630" s="57"/>
      <c r="E630" s="57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 ht="21.0" customHeight="1">
      <c r="A631" s="55"/>
      <c r="B631" s="60"/>
      <c r="C631" s="60"/>
      <c r="D631" s="57"/>
      <c r="E631" s="57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 ht="21.0" customHeight="1">
      <c r="A632" s="55"/>
      <c r="B632" s="60"/>
      <c r="C632" s="60"/>
      <c r="D632" s="57"/>
      <c r="E632" s="57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 ht="21.0" customHeight="1">
      <c r="A633" s="55"/>
      <c r="B633" s="60"/>
      <c r="C633" s="60"/>
      <c r="D633" s="57"/>
      <c r="E633" s="57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 ht="21.0" customHeight="1">
      <c r="A634" s="55"/>
      <c r="B634" s="60"/>
      <c r="C634" s="60"/>
      <c r="D634" s="57"/>
      <c r="E634" s="57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 ht="21.0" customHeight="1">
      <c r="A635" s="55"/>
      <c r="B635" s="60"/>
      <c r="C635" s="60"/>
      <c r="D635" s="57"/>
      <c r="E635" s="57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 ht="21.0" customHeight="1">
      <c r="A636" s="55"/>
      <c r="B636" s="60"/>
      <c r="C636" s="60"/>
      <c r="D636" s="57"/>
      <c r="E636" s="57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 ht="21.0" customHeight="1">
      <c r="A637" s="55"/>
      <c r="B637" s="60"/>
      <c r="C637" s="60"/>
      <c r="D637" s="57"/>
      <c r="E637" s="57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 ht="21.0" customHeight="1">
      <c r="A638" s="55"/>
      <c r="B638" s="60"/>
      <c r="C638" s="60"/>
      <c r="D638" s="57"/>
      <c r="E638" s="57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 ht="21.0" customHeight="1">
      <c r="A639" s="55"/>
      <c r="B639" s="60"/>
      <c r="C639" s="60"/>
      <c r="D639" s="57"/>
      <c r="E639" s="57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 ht="21.0" customHeight="1">
      <c r="A640" s="55"/>
      <c r="B640" s="60"/>
      <c r="C640" s="60"/>
      <c r="D640" s="57"/>
      <c r="E640" s="57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 ht="21.0" customHeight="1">
      <c r="A641" s="55"/>
      <c r="B641" s="60"/>
      <c r="C641" s="60"/>
      <c r="D641" s="57"/>
      <c r="E641" s="57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 ht="21.0" customHeight="1">
      <c r="A642" s="55"/>
      <c r="B642" s="60"/>
      <c r="C642" s="60"/>
      <c r="D642" s="57"/>
      <c r="E642" s="57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 ht="21.0" customHeight="1">
      <c r="A643" s="55"/>
      <c r="B643" s="60"/>
      <c r="C643" s="60"/>
      <c r="D643" s="57"/>
      <c r="E643" s="57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 ht="21.0" customHeight="1">
      <c r="A644" s="55"/>
      <c r="B644" s="60"/>
      <c r="C644" s="60"/>
      <c r="D644" s="57"/>
      <c r="E644" s="57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 ht="21.0" customHeight="1">
      <c r="A645" s="55"/>
      <c r="B645" s="60"/>
      <c r="C645" s="60"/>
      <c r="D645" s="57"/>
      <c r="E645" s="57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 ht="21.0" customHeight="1">
      <c r="A646" s="55"/>
      <c r="B646" s="60"/>
      <c r="C646" s="60"/>
      <c r="D646" s="57"/>
      <c r="E646" s="57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 ht="21.0" customHeight="1">
      <c r="A647" s="55"/>
      <c r="B647" s="60"/>
      <c r="C647" s="60"/>
      <c r="D647" s="57"/>
      <c r="E647" s="57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 ht="21.0" customHeight="1">
      <c r="A648" s="55"/>
      <c r="B648" s="60"/>
      <c r="C648" s="60"/>
      <c r="D648" s="57"/>
      <c r="E648" s="57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 ht="21.0" customHeight="1">
      <c r="A649" s="55"/>
      <c r="B649" s="60"/>
      <c r="C649" s="60"/>
      <c r="D649" s="57"/>
      <c r="E649" s="57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 ht="21.0" customHeight="1">
      <c r="A650" s="55"/>
      <c r="B650" s="60"/>
      <c r="C650" s="60"/>
      <c r="D650" s="57"/>
      <c r="E650" s="57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 ht="21.0" customHeight="1">
      <c r="A651" s="55"/>
      <c r="B651" s="60"/>
      <c r="C651" s="60"/>
      <c r="D651" s="57"/>
      <c r="E651" s="57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 ht="21.0" customHeight="1">
      <c r="A652" s="55"/>
      <c r="B652" s="60"/>
      <c r="C652" s="60"/>
      <c r="D652" s="57"/>
      <c r="E652" s="57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 ht="21.0" customHeight="1">
      <c r="A653" s="55"/>
      <c r="B653" s="60"/>
      <c r="C653" s="60"/>
      <c r="D653" s="57"/>
      <c r="E653" s="57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 ht="21.0" customHeight="1">
      <c r="A654" s="55"/>
      <c r="B654" s="60"/>
      <c r="C654" s="60"/>
      <c r="D654" s="57"/>
      <c r="E654" s="57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 ht="21.0" customHeight="1">
      <c r="A655" s="55"/>
      <c r="B655" s="60"/>
      <c r="C655" s="60"/>
      <c r="D655" s="57"/>
      <c r="E655" s="57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 ht="21.0" customHeight="1">
      <c r="A656" s="55"/>
      <c r="B656" s="60"/>
      <c r="C656" s="60"/>
      <c r="D656" s="57"/>
      <c r="E656" s="57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 ht="21.0" customHeight="1">
      <c r="A657" s="55"/>
      <c r="B657" s="60"/>
      <c r="C657" s="60"/>
      <c r="D657" s="57"/>
      <c r="E657" s="57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 ht="21.0" customHeight="1">
      <c r="A658" s="55"/>
      <c r="B658" s="60"/>
      <c r="C658" s="60"/>
      <c r="D658" s="57"/>
      <c r="E658" s="57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 ht="21.0" customHeight="1">
      <c r="A659" s="55"/>
      <c r="B659" s="60"/>
      <c r="C659" s="60"/>
      <c r="D659" s="57"/>
      <c r="E659" s="57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 ht="21.0" customHeight="1">
      <c r="A660" s="55"/>
      <c r="B660" s="60"/>
      <c r="C660" s="60"/>
      <c r="D660" s="57"/>
      <c r="E660" s="57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 ht="21.0" customHeight="1">
      <c r="A661" s="55"/>
      <c r="B661" s="60"/>
      <c r="C661" s="60"/>
      <c r="D661" s="57"/>
      <c r="E661" s="57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 ht="21.0" customHeight="1">
      <c r="A662" s="55"/>
      <c r="B662" s="60"/>
      <c r="C662" s="60"/>
      <c r="D662" s="57"/>
      <c r="E662" s="57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 ht="21.0" customHeight="1">
      <c r="A663" s="55"/>
      <c r="B663" s="60"/>
      <c r="C663" s="60"/>
      <c r="D663" s="57"/>
      <c r="E663" s="57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 ht="21.0" customHeight="1">
      <c r="A664" s="55"/>
      <c r="B664" s="60"/>
      <c r="C664" s="60"/>
      <c r="D664" s="57"/>
      <c r="E664" s="57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 ht="21.0" customHeight="1">
      <c r="A665" s="55"/>
      <c r="B665" s="60"/>
      <c r="C665" s="60"/>
      <c r="D665" s="57"/>
      <c r="E665" s="57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 ht="21.0" customHeight="1">
      <c r="A666" s="55"/>
      <c r="B666" s="60"/>
      <c r="C666" s="60"/>
      <c r="D666" s="57"/>
      <c r="E666" s="57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 ht="21.0" customHeight="1">
      <c r="A667" s="55"/>
      <c r="B667" s="60"/>
      <c r="C667" s="60"/>
      <c r="D667" s="57"/>
      <c r="E667" s="57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 ht="21.0" customHeight="1">
      <c r="A668" s="55"/>
      <c r="B668" s="60"/>
      <c r="C668" s="60"/>
      <c r="D668" s="57"/>
      <c r="E668" s="57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 ht="21.0" customHeight="1">
      <c r="A669" s="55"/>
      <c r="B669" s="60"/>
      <c r="C669" s="60"/>
      <c r="D669" s="57"/>
      <c r="E669" s="57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 ht="21.0" customHeight="1">
      <c r="A670" s="55"/>
      <c r="B670" s="60"/>
      <c r="C670" s="60"/>
      <c r="D670" s="57"/>
      <c r="E670" s="57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 ht="21.0" customHeight="1">
      <c r="A671" s="55"/>
      <c r="B671" s="60"/>
      <c r="C671" s="60"/>
      <c r="D671" s="57"/>
      <c r="E671" s="57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 ht="21.0" customHeight="1">
      <c r="A672" s="55"/>
      <c r="B672" s="60"/>
      <c r="C672" s="60"/>
      <c r="D672" s="57"/>
      <c r="E672" s="57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 ht="21.0" customHeight="1">
      <c r="A673" s="55"/>
      <c r="B673" s="60"/>
      <c r="C673" s="60"/>
      <c r="D673" s="57"/>
      <c r="E673" s="57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 ht="21.0" customHeight="1">
      <c r="A674" s="55"/>
      <c r="B674" s="60"/>
      <c r="C674" s="60"/>
      <c r="D674" s="57"/>
      <c r="E674" s="57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 ht="21.0" customHeight="1">
      <c r="A675" s="55"/>
      <c r="B675" s="60"/>
      <c r="C675" s="60"/>
      <c r="D675" s="57"/>
      <c r="E675" s="57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 ht="21.0" customHeight="1">
      <c r="A676" s="55"/>
      <c r="B676" s="60"/>
      <c r="C676" s="60"/>
      <c r="D676" s="57"/>
      <c r="E676" s="57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 ht="21.0" customHeight="1">
      <c r="A677" s="55"/>
      <c r="B677" s="60"/>
      <c r="C677" s="60"/>
      <c r="D677" s="57"/>
      <c r="E677" s="57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 ht="21.0" customHeight="1">
      <c r="A678" s="55"/>
      <c r="B678" s="60"/>
      <c r="C678" s="60"/>
      <c r="D678" s="57"/>
      <c r="E678" s="57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 ht="21.0" customHeight="1">
      <c r="A679" s="55"/>
      <c r="B679" s="60"/>
      <c r="C679" s="60"/>
      <c r="D679" s="57"/>
      <c r="E679" s="57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 ht="21.0" customHeight="1">
      <c r="A680" s="55"/>
      <c r="B680" s="60"/>
      <c r="C680" s="60"/>
      <c r="D680" s="57"/>
      <c r="E680" s="57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 ht="21.0" customHeight="1">
      <c r="A681" s="55"/>
      <c r="B681" s="60"/>
      <c r="C681" s="60"/>
      <c r="D681" s="57"/>
      <c r="E681" s="57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 ht="21.0" customHeight="1">
      <c r="A682" s="55"/>
      <c r="B682" s="60"/>
      <c r="C682" s="60"/>
      <c r="D682" s="57"/>
      <c r="E682" s="57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 ht="21.0" customHeight="1">
      <c r="A683" s="55"/>
      <c r="B683" s="60"/>
      <c r="C683" s="60"/>
      <c r="D683" s="57"/>
      <c r="E683" s="57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 ht="21.0" customHeight="1">
      <c r="A684" s="55"/>
      <c r="B684" s="60"/>
      <c r="C684" s="60"/>
      <c r="D684" s="57"/>
      <c r="E684" s="57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 ht="21.0" customHeight="1">
      <c r="A685" s="55"/>
      <c r="B685" s="60"/>
      <c r="C685" s="60"/>
      <c r="D685" s="57"/>
      <c r="E685" s="57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 ht="21.0" customHeight="1">
      <c r="A686" s="55"/>
      <c r="B686" s="60"/>
      <c r="C686" s="60"/>
      <c r="D686" s="57"/>
      <c r="E686" s="57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 ht="21.0" customHeight="1">
      <c r="A687" s="55"/>
      <c r="B687" s="60"/>
      <c r="C687" s="60"/>
      <c r="D687" s="57"/>
      <c r="E687" s="57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 ht="21.0" customHeight="1">
      <c r="A688" s="55"/>
      <c r="B688" s="60"/>
      <c r="C688" s="60"/>
      <c r="D688" s="57"/>
      <c r="E688" s="57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 ht="21.0" customHeight="1">
      <c r="A689" s="55"/>
      <c r="B689" s="60"/>
      <c r="C689" s="60"/>
      <c r="D689" s="57"/>
      <c r="E689" s="57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 ht="21.0" customHeight="1">
      <c r="A690" s="55"/>
      <c r="B690" s="60"/>
      <c r="C690" s="60"/>
      <c r="D690" s="57"/>
      <c r="E690" s="57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 ht="21.0" customHeight="1">
      <c r="A691" s="55"/>
      <c r="B691" s="60"/>
      <c r="C691" s="60"/>
      <c r="D691" s="57"/>
      <c r="E691" s="57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 ht="21.0" customHeight="1">
      <c r="A692" s="55"/>
      <c r="B692" s="60"/>
      <c r="C692" s="60"/>
      <c r="D692" s="57"/>
      <c r="E692" s="57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 ht="21.0" customHeight="1">
      <c r="A693" s="55"/>
      <c r="B693" s="60"/>
      <c r="C693" s="60"/>
      <c r="D693" s="57"/>
      <c r="E693" s="57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 ht="21.0" customHeight="1">
      <c r="A694" s="55"/>
      <c r="B694" s="60"/>
      <c r="C694" s="60"/>
      <c r="D694" s="57"/>
      <c r="E694" s="57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 ht="21.0" customHeight="1">
      <c r="A695" s="55"/>
      <c r="B695" s="60"/>
      <c r="C695" s="60"/>
      <c r="D695" s="57"/>
      <c r="E695" s="57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 ht="21.0" customHeight="1">
      <c r="A696" s="55"/>
      <c r="B696" s="60"/>
      <c r="C696" s="60"/>
      <c r="D696" s="57"/>
      <c r="E696" s="57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 ht="21.0" customHeight="1">
      <c r="A697" s="55"/>
      <c r="B697" s="60"/>
      <c r="C697" s="60"/>
      <c r="D697" s="57"/>
      <c r="E697" s="57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 ht="21.0" customHeight="1">
      <c r="A698" s="55"/>
      <c r="B698" s="60"/>
      <c r="C698" s="60"/>
      <c r="D698" s="57"/>
      <c r="E698" s="57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 ht="21.0" customHeight="1">
      <c r="A699" s="55"/>
      <c r="B699" s="60"/>
      <c r="C699" s="60"/>
      <c r="D699" s="57"/>
      <c r="E699" s="57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 ht="21.0" customHeight="1">
      <c r="A700" s="55"/>
      <c r="B700" s="60"/>
      <c r="C700" s="60"/>
      <c r="D700" s="57"/>
      <c r="E700" s="57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 ht="21.0" customHeight="1">
      <c r="A701" s="55"/>
      <c r="B701" s="60"/>
      <c r="C701" s="60"/>
      <c r="D701" s="57"/>
      <c r="E701" s="57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 ht="21.0" customHeight="1">
      <c r="A702" s="55"/>
      <c r="B702" s="60"/>
      <c r="C702" s="60"/>
      <c r="D702" s="57"/>
      <c r="E702" s="57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 ht="21.0" customHeight="1">
      <c r="A703" s="55"/>
      <c r="B703" s="60"/>
      <c r="C703" s="60"/>
      <c r="D703" s="57"/>
      <c r="E703" s="57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 ht="21.0" customHeight="1">
      <c r="A704" s="55"/>
      <c r="B704" s="60"/>
      <c r="C704" s="60"/>
      <c r="D704" s="57"/>
      <c r="E704" s="57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 ht="21.0" customHeight="1">
      <c r="A705" s="55"/>
      <c r="B705" s="60"/>
      <c r="C705" s="60"/>
      <c r="D705" s="57"/>
      <c r="E705" s="57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 ht="21.0" customHeight="1">
      <c r="A706" s="55"/>
      <c r="B706" s="60"/>
      <c r="C706" s="60"/>
      <c r="D706" s="57"/>
      <c r="E706" s="57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 ht="21.0" customHeight="1">
      <c r="A707" s="55"/>
      <c r="B707" s="60"/>
      <c r="C707" s="60"/>
      <c r="D707" s="57"/>
      <c r="E707" s="57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 ht="21.0" customHeight="1">
      <c r="A708" s="55"/>
      <c r="B708" s="60"/>
      <c r="C708" s="60"/>
      <c r="D708" s="57"/>
      <c r="E708" s="57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 ht="21.0" customHeight="1">
      <c r="A709" s="55"/>
      <c r="B709" s="60"/>
      <c r="C709" s="60"/>
      <c r="D709" s="57"/>
      <c r="E709" s="57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 ht="21.0" customHeight="1">
      <c r="A710" s="55"/>
      <c r="B710" s="60"/>
      <c r="C710" s="60"/>
      <c r="D710" s="57"/>
      <c r="E710" s="57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 ht="21.0" customHeight="1">
      <c r="A711" s="55"/>
      <c r="B711" s="60"/>
      <c r="C711" s="60"/>
      <c r="D711" s="57"/>
      <c r="E711" s="57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 ht="21.0" customHeight="1">
      <c r="A712" s="55"/>
      <c r="B712" s="60"/>
      <c r="C712" s="60"/>
      <c r="D712" s="57"/>
      <c r="E712" s="57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 ht="21.0" customHeight="1">
      <c r="A713" s="55"/>
      <c r="B713" s="60"/>
      <c r="C713" s="60"/>
      <c r="D713" s="57"/>
      <c r="E713" s="57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 ht="21.0" customHeight="1">
      <c r="A714" s="55"/>
      <c r="B714" s="60"/>
      <c r="C714" s="60"/>
      <c r="D714" s="57"/>
      <c r="E714" s="57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 ht="21.0" customHeight="1">
      <c r="A715" s="55"/>
      <c r="B715" s="60"/>
      <c r="C715" s="60"/>
      <c r="D715" s="57"/>
      <c r="E715" s="57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 ht="21.0" customHeight="1">
      <c r="A716" s="55"/>
      <c r="B716" s="60"/>
      <c r="C716" s="60"/>
      <c r="D716" s="57"/>
      <c r="E716" s="57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 ht="21.0" customHeight="1">
      <c r="A717" s="55"/>
      <c r="B717" s="60"/>
      <c r="C717" s="60"/>
      <c r="D717" s="57"/>
      <c r="E717" s="57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 ht="21.0" customHeight="1">
      <c r="A718" s="55"/>
      <c r="B718" s="60"/>
      <c r="C718" s="60"/>
      <c r="D718" s="57"/>
      <c r="E718" s="57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 ht="21.0" customHeight="1">
      <c r="A719" s="55"/>
      <c r="B719" s="60"/>
      <c r="C719" s="60"/>
      <c r="D719" s="57"/>
      <c r="E719" s="57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 ht="21.0" customHeight="1">
      <c r="A720" s="55"/>
      <c r="B720" s="60"/>
      <c r="C720" s="60"/>
      <c r="D720" s="57"/>
      <c r="E720" s="57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 ht="21.0" customHeight="1">
      <c r="A721" s="55"/>
      <c r="B721" s="60"/>
      <c r="C721" s="60"/>
      <c r="D721" s="57"/>
      <c r="E721" s="57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 ht="21.0" customHeight="1">
      <c r="A722" s="55"/>
      <c r="B722" s="60"/>
      <c r="C722" s="60"/>
      <c r="D722" s="57"/>
      <c r="E722" s="57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 ht="21.0" customHeight="1">
      <c r="A723" s="55"/>
      <c r="B723" s="60"/>
      <c r="C723" s="60"/>
      <c r="D723" s="57"/>
      <c r="E723" s="57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 ht="21.0" customHeight="1">
      <c r="A724" s="55"/>
      <c r="B724" s="60"/>
      <c r="C724" s="60"/>
      <c r="D724" s="57"/>
      <c r="E724" s="57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 ht="21.0" customHeight="1">
      <c r="A725" s="55"/>
      <c r="B725" s="60"/>
      <c r="C725" s="60"/>
      <c r="D725" s="57"/>
      <c r="E725" s="57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 ht="21.0" customHeight="1">
      <c r="A726" s="55"/>
      <c r="B726" s="60"/>
      <c r="C726" s="60"/>
      <c r="D726" s="57"/>
      <c r="E726" s="57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 ht="21.0" customHeight="1">
      <c r="A727" s="55"/>
      <c r="B727" s="60"/>
      <c r="C727" s="60"/>
      <c r="D727" s="57"/>
      <c r="E727" s="57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 ht="21.0" customHeight="1">
      <c r="A728" s="55"/>
      <c r="B728" s="60"/>
      <c r="C728" s="60"/>
      <c r="D728" s="57"/>
      <c r="E728" s="57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 ht="21.0" customHeight="1">
      <c r="A729" s="55"/>
      <c r="B729" s="60"/>
      <c r="C729" s="60"/>
      <c r="D729" s="57"/>
      <c r="E729" s="57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 ht="21.0" customHeight="1">
      <c r="A730" s="55"/>
      <c r="B730" s="60"/>
      <c r="C730" s="60"/>
      <c r="D730" s="57"/>
      <c r="E730" s="57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 ht="21.0" customHeight="1">
      <c r="A731" s="55"/>
      <c r="B731" s="60"/>
      <c r="C731" s="60"/>
      <c r="D731" s="57"/>
      <c r="E731" s="57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 ht="21.0" customHeight="1">
      <c r="A732" s="55"/>
      <c r="B732" s="60"/>
      <c r="C732" s="60"/>
      <c r="D732" s="57"/>
      <c r="E732" s="57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 ht="21.0" customHeight="1">
      <c r="A733" s="55"/>
      <c r="B733" s="60"/>
      <c r="C733" s="60"/>
      <c r="D733" s="57"/>
      <c r="E733" s="57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 ht="21.0" customHeight="1">
      <c r="A734" s="55"/>
      <c r="B734" s="60"/>
      <c r="C734" s="60"/>
      <c r="D734" s="57"/>
      <c r="E734" s="57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 ht="21.0" customHeight="1">
      <c r="A735" s="55"/>
      <c r="B735" s="60"/>
      <c r="C735" s="60"/>
      <c r="D735" s="57"/>
      <c r="E735" s="57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 ht="21.0" customHeight="1">
      <c r="A736" s="55"/>
      <c r="B736" s="60"/>
      <c r="C736" s="60"/>
      <c r="D736" s="57"/>
      <c r="E736" s="57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 ht="21.0" customHeight="1">
      <c r="A737" s="55"/>
      <c r="B737" s="60"/>
      <c r="C737" s="60"/>
      <c r="D737" s="57"/>
      <c r="E737" s="57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 ht="21.0" customHeight="1">
      <c r="A738" s="55"/>
      <c r="B738" s="60"/>
      <c r="C738" s="60"/>
      <c r="D738" s="57"/>
      <c r="E738" s="57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 ht="21.0" customHeight="1">
      <c r="A739" s="55"/>
      <c r="B739" s="60"/>
      <c r="C739" s="60"/>
      <c r="D739" s="57"/>
      <c r="E739" s="57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 ht="21.0" customHeight="1">
      <c r="A740" s="55"/>
      <c r="B740" s="60"/>
      <c r="C740" s="60"/>
      <c r="D740" s="57"/>
      <c r="E740" s="57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 ht="21.0" customHeight="1">
      <c r="A741" s="55"/>
      <c r="B741" s="60"/>
      <c r="C741" s="60"/>
      <c r="D741" s="57"/>
      <c r="E741" s="57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 ht="21.0" customHeight="1">
      <c r="A742" s="55"/>
      <c r="B742" s="60"/>
      <c r="C742" s="60"/>
      <c r="D742" s="57"/>
      <c r="E742" s="57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 ht="21.0" customHeight="1">
      <c r="A743" s="55"/>
      <c r="B743" s="60"/>
      <c r="C743" s="60"/>
      <c r="D743" s="57"/>
      <c r="E743" s="57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 ht="21.0" customHeight="1">
      <c r="A744" s="55"/>
      <c r="B744" s="60"/>
      <c r="C744" s="60"/>
      <c r="D744" s="57"/>
      <c r="E744" s="57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 ht="21.0" customHeight="1">
      <c r="A745" s="55"/>
      <c r="B745" s="60"/>
      <c r="C745" s="60"/>
      <c r="D745" s="57"/>
      <c r="E745" s="57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 ht="21.0" customHeight="1">
      <c r="A746" s="55"/>
      <c r="B746" s="60"/>
      <c r="C746" s="60"/>
      <c r="D746" s="57"/>
      <c r="E746" s="57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 ht="21.0" customHeight="1">
      <c r="A747" s="55"/>
      <c r="B747" s="60"/>
      <c r="C747" s="60"/>
      <c r="D747" s="57"/>
      <c r="E747" s="57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 ht="21.0" customHeight="1">
      <c r="A748" s="55"/>
      <c r="B748" s="60"/>
      <c r="C748" s="60"/>
      <c r="D748" s="57"/>
      <c r="E748" s="57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 ht="21.0" customHeight="1">
      <c r="A749" s="55"/>
      <c r="B749" s="60"/>
      <c r="C749" s="60"/>
      <c r="D749" s="57"/>
      <c r="E749" s="57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 ht="21.0" customHeight="1">
      <c r="A750" s="55"/>
      <c r="B750" s="60"/>
      <c r="C750" s="60"/>
      <c r="D750" s="57"/>
      <c r="E750" s="57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 ht="21.0" customHeight="1">
      <c r="A751" s="55"/>
      <c r="B751" s="60"/>
      <c r="C751" s="60"/>
      <c r="D751" s="57"/>
      <c r="E751" s="57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 ht="21.0" customHeight="1">
      <c r="A752" s="55"/>
      <c r="B752" s="60"/>
      <c r="C752" s="60"/>
      <c r="D752" s="57"/>
      <c r="E752" s="57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 ht="21.0" customHeight="1">
      <c r="A753" s="55"/>
      <c r="B753" s="60"/>
      <c r="C753" s="60"/>
      <c r="D753" s="57"/>
      <c r="E753" s="57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 ht="21.0" customHeight="1">
      <c r="A754" s="55"/>
      <c r="B754" s="60"/>
      <c r="C754" s="60"/>
      <c r="D754" s="57"/>
      <c r="E754" s="57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 ht="21.0" customHeight="1">
      <c r="A755" s="55"/>
      <c r="B755" s="60"/>
      <c r="C755" s="60"/>
      <c r="D755" s="57"/>
      <c r="E755" s="57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 ht="21.0" customHeight="1">
      <c r="A756" s="55"/>
      <c r="B756" s="60"/>
      <c r="C756" s="60"/>
      <c r="D756" s="57"/>
      <c r="E756" s="57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</row>
    <row r="757" ht="21.0" customHeight="1">
      <c r="A757" s="55"/>
      <c r="B757" s="60"/>
      <c r="C757" s="60"/>
      <c r="D757" s="57"/>
      <c r="E757" s="57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 ht="21.0" customHeight="1">
      <c r="A758" s="55"/>
      <c r="B758" s="60"/>
      <c r="C758" s="60"/>
      <c r="D758" s="57"/>
      <c r="E758" s="57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 ht="21.0" customHeight="1">
      <c r="A759" s="55"/>
      <c r="B759" s="60"/>
      <c r="C759" s="60"/>
      <c r="D759" s="57"/>
      <c r="E759" s="57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 ht="21.0" customHeight="1">
      <c r="A760" s="55"/>
      <c r="B760" s="60"/>
      <c r="C760" s="60"/>
      <c r="D760" s="57"/>
      <c r="E760" s="57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 ht="21.0" customHeight="1">
      <c r="A761" s="55"/>
      <c r="B761" s="60"/>
      <c r="C761" s="60"/>
      <c r="D761" s="57"/>
      <c r="E761" s="57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 ht="21.0" customHeight="1">
      <c r="A762" s="55"/>
      <c r="B762" s="60"/>
      <c r="C762" s="60"/>
      <c r="D762" s="57"/>
      <c r="E762" s="57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 ht="21.0" customHeight="1">
      <c r="A763" s="55"/>
      <c r="B763" s="60"/>
      <c r="C763" s="60"/>
      <c r="D763" s="57"/>
      <c r="E763" s="57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 ht="21.0" customHeight="1">
      <c r="A764" s="55"/>
      <c r="B764" s="60"/>
      <c r="C764" s="60"/>
      <c r="D764" s="57"/>
      <c r="E764" s="57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 ht="21.0" customHeight="1">
      <c r="A765" s="55"/>
      <c r="B765" s="60"/>
      <c r="C765" s="60"/>
      <c r="D765" s="57"/>
      <c r="E765" s="57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 ht="21.0" customHeight="1">
      <c r="A766" s="55"/>
      <c r="B766" s="60"/>
      <c r="C766" s="60"/>
      <c r="D766" s="57"/>
      <c r="E766" s="57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 ht="21.0" customHeight="1">
      <c r="A767" s="55"/>
      <c r="B767" s="60"/>
      <c r="C767" s="60"/>
      <c r="D767" s="57"/>
      <c r="E767" s="57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 ht="21.0" customHeight="1">
      <c r="A768" s="55"/>
      <c r="B768" s="60"/>
      <c r="C768" s="60"/>
      <c r="D768" s="57"/>
      <c r="E768" s="57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 ht="21.0" customHeight="1">
      <c r="A769" s="55"/>
      <c r="B769" s="60"/>
      <c r="C769" s="60"/>
      <c r="D769" s="57"/>
      <c r="E769" s="57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 ht="21.0" customHeight="1">
      <c r="A770" s="55"/>
      <c r="B770" s="60"/>
      <c r="C770" s="60"/>
      <c r="D770" s="57"/>
      <c r="E770" s="57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 ht="21.0" customHeight="1">
      <c r="A771" s="55"/>
      <c r="B771" s="60"/>
      <c r="C771" s="60"/>
      <c r="D771" s="57"/>
      <c r="E771" s="57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 ht="21.0" customHeight="1">
      <c r="A772" s="55"/>
      <c r="B772" s="60"/>
      <c r="C772" s="60"/>
      <c r="D772" s="57"/>
      <c r="E772" s="57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 ht="21.0" customHeight="1">
      <c r="A773" s="55"/>
      <c r="B773" s="60"/>
      <c r="C773" s="60"/>
      <c r="D773" s="57"/>
      <c r="E773" s="57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 ht="21.0" customHeight="1">
      <c r="A774" s="55"/>
      <c r="B774" s="60"/>
      <c r="C774" s="60"/>
      <c r="D774" s="57"/>
      <c r="E774" s="57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 ht="21.0" customHeight="1">
      <c r="A775" s="55"/>
      <c r="B775" s="60"/>
      <c r="C775" s="60"/>
      <c r="D775" s="57"/>
      <c r="E775" s="57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 ht="21.0" customHeight="1">
      <c r="A776" s="55"/>
      <c r="B776" s="60"/>
      <c r="C776" s="60"/>
      <c r="D776" s="57"/>
      <c r="E776" s="57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 ht="21.0" customHeight="1">
      <c r="A777" s="55"/>
      <c r="B777" s="60"/>
      <c r="C777" s="60"/>
      <c r="D777" s="57"/>
      <c r="E777" s="57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 ht="21.0" customHeight="1">
      <c r="A778" s="55"/>
      <c r="B778" s="60"/>
      <c r="C778" s="60"/>
      <c r="D778" s="57"/>
      <c r="E778" s="57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 ht="21.0" customHeight="1">
      <c r="A779" s="55"/>
      <c r="B779" s="60"/>
      <c r="C779" s="60"/>
      <c r="D779" s="57"/>
      <c r="E779" s="57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 ht="21.0" customHeight="1">
      <c r="A780" s="55"/>
      <c r="B780" s="60"/>
      <c r="C780" s="60"/>
      <c r="D780" s="57"/>
      <c r="E780" s="57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 ht="21.0" customHeight="1">
      <c r="A781" s="55"/>
      <c r="B781" s="60"/>
      <c r="C781" s="60"/>
      <c r="D781" s="57"/>
      <c r="E781" s="57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 ht="21.0" customHeight="1">
      <c r="A782" s="55"/>
      <c r="B782" s="60"/>
      <c r="C782" s="60"/>
      <c r="D782" s="57"/>
      <c r="E782" s="57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 ht="21.0" customHeight="1">
      <c r="A783" s="55"/>
      <c r="B783" s="60"/>
      <c r="C783" s="60"/>
      <c r="D783" s="57"/>
      <c r="E783" s="57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 ht="21.0" customHeight="1">
      <c r="A784" s="55"/>
      <c r="B784" s="60"/>
      <c r="C784" s="60"/>
      <c r="D784" s="57"/>
      <c r="E784" s="57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 ht="21.0" customHeight="1">
      <c r="A785" s="55"/>
      <c r="B785" s="60"/>
      <c r="C785" s="60"/>
      <c r="D785" s="57"/>
      <c r="E785" s="57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 ht="21.0" customHeight="1">
      <c r="A786" s="55"/>
      <c r="B786" s="60"/>
      <c r="C786" s="60"/>
      <c r="D786" s="57"/>
      <c r="E786" s="57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 ht="21.0" customHeight="1">
      <c r="A787" s="55"/>
      <c r="B787" s="60"/>
      <c r="C787" s="60"/>
      <c r="D787" s="57"/>
      <c r="E787" s="57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 ht="21.0" customHeight="1">
      <c r="A788" s="55"/>
      <c r="B788" s="60"/>
      <c r="C788" s="60"/>
      <c r="D788" s="57"/>
      <c r="E788" s="57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 ht="21.0" customHeight="1">
      <c r="A789" s="55"/>
      <c r="B789" s="60"/>
      <c r="C789" s="60"/>
      <c r="D789" s="57"/>
      <c r="E789" s="57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 ht="21.0" customHeight="1">
      <c r="A790" s="55"/>
      <c r="B790" s="60"/>
      <c r="C790" s="60"/>
      <c r="D790" s="57"/>
      <c r="E790" s="57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 ht="21.0" customHeight="1">
      <c r="A791" s="55"/>
      <c r="B791" s="60"/>
      <c r="C791" s="60"/>
      <c r="D791" s="57"/>
      <c r="E791" s="57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 ht="21.0" customHeight="1">
      <c r="A792" s="55"/>
      <c r="B792" s="60"/>
      <c r="C792" s="60"/>
      <c r="D792" s="57"/>
      <c r="E792" s="57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 ht="21.0" customHeight="1">
      <c r="A793" s="55"/>
      <c r="B793" s="60"/>
      <c r="C793" s="60"/>
      <c r="D793" s="57"/>
      <c r="E793" s="57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 ht="21.0" customHeight="1">
      <c r="A794" s="55"/>
      <c r="B794" s="60"/>
      <c r="C794" s="60"/>
      <c r="D794" s="57"/>
      <c r="E794" s="57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 ht="21.0" customHeight="1">
      <c r="A795" s="55"/>
      <c r="B795" s="60"/>
      <c r="C795" s="60"/>
      <c r="D795" s="57"/>
      <c r="E795" s="57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 ht="21.0" customHeight="1">
      <c r="A796" s="55"/>
      <c r="B796" s="60"/>
      <c r="C796" s="60"/>
      <c r="D796" s="57"/>
      <c r="E796" s="57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 ht="21.0" customHeight="1">
      <c r="A797" s="55"/>
      <c r="B797" s="60"/>
      <c r="C797" s="60"/>
      <c r="D797" s="57"/>
      <c r="E797" s="57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 ht="21.0" customHeight="1">
      <c r="A798" s="55"/>
      <c r="B798" s="60"/>
      <c r="C798" s="60"/>
      <c r="D798" s="57"/>
      <c r="E798" s="57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 ht="21.0" customHeight="1">
      <c r="A799" s="55"/>
      <c r="B799" s="60"/>
      <c r="C799" s="60"/>
      <c r="D799" s="57"/>
      <c r="E799" s="57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 ht="21.0" customHeight="1">
      <c r="A800" s="55"/>
      <c r="B800" s="60"/>
      <c r="C800" s="60"/>
      <c r="D800" s="57"/>
      <c r="E800" s="57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 ht="21.0" customHeight="1">
      <c r="A801" s="55"/>
      <c r="B801" s="60"/>
      <c r="C801" s="60"/>
      <c r="D801" s="57"/>
      <c r="E801" s="57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 ht="21.0" customHeight="1">
      <c r="A802" s="55"/>
      <c r="B802" s="60"/>
      <c r="C802" s="60"/>
      <c r="D802" s="57"/>
      <c r="E802" s="57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 ht="21.0" customHeight="1">
      <c r="A803" s="55"/>
      <c r="B803" s="60"/>
      <c r="C803" s="60"/>
      <c r="D803" s="57"/>
      <c r="E803" s="57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 ht="21.0" customHeight="1">
      <c r="A804" s="55"/>
      <c r="B804" s="60"/>
      <c r="C804" s="60"/>
      <c r="D804" s="57"/>
      <c r="E804" s="57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 ht="21.0" customHeight="1">
      <c r="A805" s="55"/>
      <c r="B805" s="60"/>
      <c r="C805" s="60"/>
      <c r="D805" s="57"/>
      <c r="E805" s="57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 ht="21.0" customHeight="1">
      <c r="A806" s="55"/>
      <c r="B806" s="60"/>
      <c r="C806" s="60"/>
      <c r="D806" s="57"/>
      <c r="E806" s="57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 ht="21.0" customHeight="1">
      <c r="A807" s="55"/>
      <c r="B807" s="60"/>
      <c r="C807" s="60"/>
      <c r="D807" s="57"/>
      <c r="E807" s="57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 ht="21.0" customHeight="1">
      <c r="A808" s="55"/>
      <c r="B808" s="60"/>
      <c r="C808" s="60"/>
      <c r="D808" s="57"/>
      <c r="E808" s="57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 ht="21.0" customHeight="1">
      <c r="A809" s="55"/>
      <c r="B809" s="60"/>
      <c r="C809" s="60"/>
      <c r="D809" s="57"/>
      <c r="E809" s="57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 ht="21.0" customHeight="1">
      <c r="A810" s="55"/>
      <c r="B810" s="60"/>
      <c r="C810" s="60"/>
      <c r="D810" s="57"/>
      <c r="E810" s="57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 ht="21.0" customHeight="1">
      <c r="A811" s="55"/>
      <c r="B811" s="60"/>
      <c r="C811" s="60"/>
      <c r="D811" s="57"/>
      <c r="E811" s="57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 ht="21.0" customHeight="1">
      <c r="A812" s="55"/>
      <c r="B812" s="60"/>
      <c r="C812" s="60"/>
      <c r="D812" s="57"/>
      <c r="E812" s="57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 ht="21.0" customHeight="1">
      <c r="A813" s="55"/>
      <c r="B813" s="60"/>
      <c r="C813" s="60"/>
      <c r="D813" s="57"/>
      <c r="E813" s="57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 ht="21.0" customHeight="1">
      <c r="A814" s="55"/>
      <c r="B814" s="60"/>
      <c r="C814" s="60"/>
      <c r="D814" s="57"/>
      <c r="E814" s="57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 ht="21.0" customHeight="1">
      <c r="A815" s="55"/>
      <c r="B815" s="60"/>
      <c r="C815" s="60"/>
      <c r="D815" s="57"/>
      <c r="E815" s="57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 ht="21.0" customHeight="1">
      <c r="A816" s="55"/>
      <c r="B816" s="60"/>
      <c r="C816" s="60"/>
      <c r="D816" s="57"/>
      <c r="E816" s="57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 ht="21.0" customHeight="1">
      <c r="A817" s="55"/>
      <c r="B817" s="60"/>
      <c r="C817" s="60"/>
      <c r="D817" s="57"/>
      <c r="E817" s="57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 ht="21.0" customHeight="1">
      <c r="A818" s="55"/>
      <c r="B818" s="60"/>
      <c r="C818" s="60"/>
      <c r="D818" s="57"/>
      <c r="E818" s="57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 ht="21.0" customHeight="1">
      <c r="A819" s="55"/>
      <c r="B819" s="60"/>
      <c r="C819" s="60"/>
      <c r="D819" s="57"/>
      <c r="E819" s="57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 ht="21.0" customHeight="1">
      <c r="A820" s="55"/>
      <c r="B820" s="60"/>
      <c r="C820" s="60"/>
      <c r="D820" s="57"/>
      <c r="E820" s="57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 ht="21.0" customHeight="1">
      <c r="A821" s="55"/>
      <c r="B821" s="60"/>
      <c r="C821" s="60"/>
      <c r="D821" s="57"/>
      <c r="E821" s="57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 ht="21.0" customHeight="1">
      <c r="A822" s="55"/>
      <c r="B822" s="60"/>
      <c r="C822" s="60"/>
      <c r="D822" s="57"/>
      <c r="E822" s="57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 ht="21.0" customHeight="1">
      <c r="A823" s="55"/>
      <c r="B823" s="60"/>
      <c r="C823" s="60"/>
      <c r="D823" s="57"/>
      <c r="E823" s="57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 ht="21.0" customHeight="1">
      <c r="A824" s="55"/>
      <c r="B824" s="60"/>
      <c r="C824" s="60"/>
      <c r="D824" s="57"/>
      <c r="E824" s="57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 ht="21.0" customHeight="1">
      <c r="A825" s="55"/>
      <c r="B825" s="60"/>
      <c r="C825" s="60"/>
      <c r="D825" s="57"/>
      <c r="E825" s="57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 ht="21.0" customHeight="1">
      <c r="A826" s="55"/>
      <c r="B826" s="60"/>
      <c r="C826" s="60"/>
      <c r="D826" s="57"/>
      <c r="E826" s="57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 ht="21.0" customHeight="1">
      <c r="A827" s="55"/>
      <c r="B827" s="60"/>
      <c r="C827" s="60"/>
      <c r="D827" s="57"/>
      <c r="E827" s="57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 ht="21.0" customHeight="1">
      <c r="A828" s="55"/>
      <c r="B828" s="60"/>
      <c r="C828" s="60"/>
      <c r="D828" s="57"/>
      <c r="E828" s="57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 ht="21.0" customHeight="1">
      <c r="A829" s="55"/>
      <c r="B829" s="60"/>
      <c r="C829" s="60"/>
      <c r="D829" s="57"/>
      <c r="E829" s="57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 ht="21.0" customHeight="1">
      <c r="A830" s="55"/>
      <c r="B830" s="60"/>
      <c r="C830" s="60"/>
      <c r="D830" s="57"/>
      <c r="E830" s="57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 ht="21.0" customHeight="1">
      <c r="A831" s="55"/>
      <c r="B831" s="60"/>
      <c r="C831" s="60"/>
      <c r="D831" s="57"/>
      <c r="E831" s="57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 ht="21.0" customHeight="1">
      <c r="A832" s="55"/>
      <c r="B832" s="60"/>
      <c r="C832" s="60"/>
      <c r="D832" s="57"/>
      <c r="E832" s="57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 ht="21.0" customHeight="1">
      <c r="A833" s="55"/>
      <c r="B833" s="60"/>
      <c r="C833" s="60"/>
      <c r="D833" s="57"/>
      <c r="E833" s="57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 ht="21.0" customHeight="1">
      <c r="A834" s="55"/>
      <c r="B834" s="60"/>
      <c r="C834" s="60"/>
      <c r="D834" s="57"/>
      <c r="E834" s="57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 ht="21.0" customHeight="1">
      <c r="A835" s="55"/>
      <c r="B835" s="60"/>
      <c r="C835" s="60"/>
      <c r="D835" s="57"/>
      <c r="E835" s="57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 ht="21.0" customHeight="1">
      <c r="A836" s="55"/>
      <c r="B836" s="60"/>
      <c r="C836" s="60"/>
      <c r="D836" s="57"/>
      <c r="E836" s="57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 ht="21.0" customHeight="1">
      <c r="A837" s="55"/>
      <c r="B837" s="60"/>
      <c r="C837" s="60"/>
      <c r="D837" s="57"/>
      <c r="E837" s="57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 ht="21.0" customHeight="1">
      <c r="A838" s="55"/>
      <c r="B838" s="60"/>
      <c r="C838" s="60"/>
      <c r="D838" s="57"/>
      <c r="E838" s="57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 ht="21.0" customHeight="1">
      <c r="A839" s="55"/>
      <c r="B839" s="60"/>
      <c r="C839" s="60"/>
      <c r="D839" s="57"/>
      <c r="E839" s="57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 ht="21.0" customHeight="1">
      <c r="A840" s="55"/>
      <c r="B840" s="60"/>
      <c r="C840" s="60"/>
      <c r="D840" s="57"/>
      <c r="E840" s="57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 ht="21.0" customHeight="1">
      <c r="A841" s="55"/>
      <c r="B841" s="60"/>
      <c r="C841" s="60"/>
      <c r="D841" s="57"/>
      <c r="E841" s="57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 ht="21.0" customHeight="1">
      <c r="A842" s="55"/>
      <c r="B842" s="60"/>
      <c r="C842" s="60"/>
      <c r="D842" s="57"/>
      <c r="E842" s="57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 ht="21.0" customHeight="1">
      <c r="A843" s="55"/>
      <c r="B843" s="60"/>
      <c r="C843" s="60"/>
      <c r="D843" s="57"/>
      <c r="E843" s="57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 ht="21.0" customHeight="1">
      <c r="A844" s="55"/>
      <c r="B844" s="60"/>
      <c r="C844" s="60"/>
      <c r="D844" s="57"/>
      <c r="E844" s="57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 ht="21.0" customHeight="1">
      <c r="A845" s="55"/>
      <c r="B845" s="60"/>
      <c r="C845" s="60"/>
      <c r="D845" s="57"/>
      <c r="E845" s="57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 ht="21.0" customHeight="1">
      <c r="A846" s="55"/>
      <c r="B846" s="60"/>
      <c r="C846" s="60"/>
      <c r="D846" s="57"/>
      <c r="E846" s="57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 ht="21.0" customHeight="1">
      <c r="A847" s="55"/>
      <c r="B847" s="60"/>
      <c r="C847" s="60"/>
      <c r="D847" s="57"/>
      <c r="E847" s="57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 ht="21.0" customHeight="1">
      <c r="A848" s="55"/>
      <c r="B848" s="60"/>
      <c r="C848" s="60"/>
      <c r="D848" s="57"/>
      <c r="E848" s="57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 ht="21.0" customHeight="1">
      <c r="A849" s="55"/>
      <c r="B849" s="60"/>
      <c r="C849" s="60"/>
      <c r="D849" s="57"/>
      <c r="E849" s="57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 ht="21.0" customHeight="1">
      <c r="A850" s="55"/>
      <c r="B850" s="60"/>
      <c r="C850" s="60"/>
      <c r="D850" s="57"/>
      <c r="E850" s="57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 ht="21.0" customHeight="1">
      <c r="A851" s="55"/>
      <c r="B851" s="60"/>
      <c r="C851" s="60"/>
      <c r="D851" s="57"/>
      <c r="E851" s="57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 ht="21.0" customHeight="1">
      <c r="A852" s="55"/>
      <c r="B852" s="60"/>
      <c r="C852" s="60"/>
      <c r="D852" s="57"/>
      <c r="E852" s="57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 ht="21.0" customHeight="1">
      <c r="A853" s="55"/>
      <c r="B853" s="60"/>
      <c r="C853" s="60"/>
      <c r="D853" s="57"/>
      <c r="E853" s="57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 ht="21.0" customHeight="1">
      <c r="A854" s="55"/>
      <c r="B854" s="60"/>
      <c r="C854" s="60"/>
      <c r="D854" s="57"/>
      <c r="E854" s="57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 ht="21.0" customHeight="1">
      <c r="A855" s="55"/>
      <c r="B855" s="60"/>
      <c r="C855" s="60"/>
      <c r="D855" s="57"/>
      <c r="E855" s="57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 ht="21.0" customHeight="1">
      <c r="A856" s="55"/>
      <c r="B856" s="60"/>
      <c r="C856" s="60"/>
      <c r="D856" s="57"/>
      <c r="E856" s="57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 ht="21.0" customHeight="1">
      <c r="A857" s="55"/>
      <c r="B857" s="60"/>
      <c r="C857" s="60"/>
      <c r="D857" s="57"/>
      <c r="E857" s="57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 ht="21.0" customHeight="1">
      <c r="A858" s="55"/>
      <c r="B858" s="60"/>
      <c r="C858" s="60"/>
      <c r="D858" s="57"/>
      <c r="E858" s="57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 ht="21.0" customHeight="1">
      <c r="A859" s="55"/>
      <c r="B859" s="60"/>
      <c r="C859" s="60"/>
      <c r="D859" s="57"/>
      <c r="E859" s="57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 ht="21.0" customHeight="1">
      <c r="A860" s="55"/>
      <c r="B860" s="60"/>
      <c r="C860" s="60"/>
      <c r="D860" s="57"/>
      <c r="E860" s="57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 ht="21.0" customHeight="1">
      <c r="A861" s="55"/>
      <c r="B861" s="60"/>
      <c r="C861" s="60"/>
      <c r="D861" s="57"/>
      <c r="E861" s="57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 ht="21.0" customHeight="1">
      <c r="A862" s="55"/>
      <c r="B862" s="60"/>
      <c r="C862" s="60"/>
      <c r="D862" s="57"/>
      <c r="E862" s="57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 ht="21.0" customHeight="1">
      <c r="A863" s="55"/>
      <c r="B863" s="60"/>
      <c r="C863" s="60"/>
      <c r="D863" s="57"/>
      <c r="E863" s="57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 ht="21.0" customHeight="1">
      <c r="A864" s="55"/>
      <c r="B864" s="60"/>
      <c r="C864" s="60"/>
      <c r="D864" s="57"/>
      <c r="E864" s="57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 ht="21.0" customHeight="1">
      <c r="A865" s="55"/>
      <c r="B865" s="60"/>
      <c r="C865" s="60"/>
      <c r="D865" s="57"/>
      <c r="E865" s="57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 ht="21.0" customHeight="1">
      <c r="A866" s="55"/>
      <c r="B866" s="60"/>
      <c r="C866" s="60"/>
      <c r="D866" s="57"/>
      <c r="E866" s="57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 ht="21.0" customHeight="1">
      <c r="A867" s="55"/>
      <c r="B867" s="60"/>
      <c r="C867" s="60"/>
      <c r="D867" s="57"/>
      <c r="E867" s="57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 ht="21.0" customHeight="1">
      <c r="A868" s="55"/>
      <c r="B868" s="60"/>
      <c r="C868" s="60"/>
      <c r="D868" s="57"/>
      <c r="E868" s="57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 ht="21.0" customHeight="1">
      <c r="A869" s="55"/>
      <c r="B869" s="60"/>
      <c r="C869" s="60"/>
      <c r="D869" s="57"/>
      <c r="E869" s="57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 ht="21.0" customHeight="1">
      <c r="A870" s="55"/>
      <c r="B870" s="60"/>
      <c r="C870" s="60"/>
      <c r="D870" s="57"/>
      <c r="E870" s="57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 ht="21.0" customHeight="1">
      <c r="A871" s="55"/>
      <c r="B871" s="60"/>
      <c r="C871" s="60"/>
      <c r="D871" s="57"/>
      <c r="E871" s="57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 ht="21.0" customHeight="1">
      <c r="A872" s="55"/>
      <c r="B872" s="60"/>
      <c r="C872" s="60"/>
      <c r="D872" s="57"/>
      <c r="E872" s="57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 ht="21.0" customHeight="1">
      <c r="A873" s="55"/>
      <c r="B873" s="60"/>
      <c r="C873" s="60"/>
      <c r="D873" s="57"/>
      <c r="E873" s="57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 ht="21.0" customHeight="1">
      <c r="A874" s="55"/>
      <c r="B874" s="60"/>
      <c r="C874" s="60"/>
      <c r="D874" s="57"/>
      <c r="E874" s="57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 ht="21.0" customHeight="1">
      <c r="A875" s="55"/>
      <c r="B875" s="60"/>
      <c r="C875" s="60"/>
      <c r="D875" s="57"/>
      <c r="E875" s="57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 ht="21.0" customHeight="1">
      <c r="A876" s="55"/>
      <c r="B876" s="60"/>
      <c r="C876" s="60"/>
      <c r="D876" s="57"/>
      <c r="E876" s="57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 ht="21.0" customHeight="1">
      <c r="A877" s="55"/>
      <c r="B877" s="60"/>
      <c r="C877" s="60"/>
      <c r="D877" s="57"/>
      <c r="E877" s="57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 ht="21.0" customHeight="1">
      <c r="A878" s="55"/>
      <c r="B878" s="60"/>
      <c r="C878" s="60"/>
      <c r="D878" s="57"/>
      <c r="E878" s="57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 ht="21.0" customHeight="1">
      <c r="A879" s="55"/>
      <c r="B879" s="60"/>
      <c r="C879" s="60"/>
      <c r="D879" s="57"/>
      <c r="E879" s="57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 ht="21.0" customHeight="1">
      <c r="A880" s="55"/>
      <c r="B880" s="60"/>
      <c r="C880" s="60"/>
      <c r="D880" s="57"/>
      <c r="E880" s="57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 ht="21.0" customHeight="1">
      <c r="A881" s="55"/>
      <c r="B881" s="60"/>
      <c r="C881" s="60"/>
      <c r="D881" s="57"/>
      <c r="E881" s="57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 ht="21.0" customHeight="1">
      <c r="A882" s="55"/>
      <c r="B882" s="60"/>
      <c r="C882" s="60"/>
      <c r="D882" s="57"/>
      <c r="E882" s="57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 ht="21.0" customHeight="1">
      <c r="A883" s="55"/>
      <c r="B883" s="60"/>
      <c r="C883" s="60"/>
      <c r="D883" s="57"/>
      <c r="E883" s="57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 ht="21.0" customHeight="1">
      <c r="A884" s="55"/>
      <c r="B884" s="60"/>
      <c r="C884" s="60"/>
      <c r="D884" s="57"/>
      <c r="E884" s="57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 ht="21.0" customHeight="1">
      <c r="A885" s="55"/>
      <c r="B885" s="60"/>
      <c r="C885" s="60"/>
      <c r="D885" s="57"/>
      <c r="E885" s="57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 ht="21.0" customHeight="1">
      <c r="A886" s="55"/>
      <c r="B886" s="60"/>
      <c r="C886" s="60"/>
      <c r="D886" s="57"/>
      <c r="E886" s="57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 ht="21.0" customHeight="1">
      <c r="A887" s="55"/>
      <c r="B887" s="60"/>
      <c r="C887" s="60"/>
      <c r="D887" s="57"/>
      <c r="E887" s="57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 ht="21.0" customHeight="1">
      <c r="A888" s="55"/>
      <c r="B888" s="60"/>
      <c r="C888" s="60"/>
      <c r="D888" s="57"/>
      <c r="E888" s="57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 ht="21.0" customHeight="1">
      <c r="A889" s="55"/>
      <c r="B889" s="60"/>
      <c r="C889" s="60"/>
      <c r="D889" s="57"/>
      <c r="E889" s="57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 ht="21.0" customHeight="1">
      <c r="A890" s="55"/>
      <c r="B890" s="60"/>
      <c r="C890" s="60"/>
      <c r="D890" s="57"/>
      <c r="E890" s="57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 ht="21.0" customHeight="1">
      <c r="A891" s="55"/>
      <c r="B891" s="60"/>
      <c r="C891" s="60"/>
      <c r="D891" s="57"/>
      <c r="E891" s="57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 ht="21.0" customHeight="1">
      <c r="A892" s="55"/>
      <c r="B892" s="60"/>
      <c r="C892" s="60"/>
      <c r="D892" s="57"/>
      <c r="E892" s="57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 ht="21.0" customHeight="1">
      <c r="A893" s="55"/>
      <c r="B893" s="60"/>
      <c r="C893" s="60"/>
      <c r="D893" s="57"/>
      <c r="E893" s="57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 ht="21.0" customHeight="1">
      <c r="A894" s="55"/>
      <c r="B894" s="60"/>
      <c r="C894" s="60"/>
      <c r="D894" s="57"/>
      <c r="E894" s="57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 ht="21.0" customHeight="1">
      <c r="A895" s="55"/>
      <c r="B895" s="60"/>
      <c r="C895" s="60"/>
      <c r="D895" s="57"/>
      <c r="E895" s="57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 ht="21.0" customHeight="1">
      <c r="A896" s="55"/>
      <c r="B896" s="60"/>
      <c r="C896" s="60"/>
      <c r="D896" s="57"/>
      <c r="E896" s="57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 ht="21.0" customHeight="1">
      <c r="A897" s="55"/>
      <c r="B897" s="60"/>
      <c r="C897" s="60"/>
      <c r="D897" s="57"/>
      <c r="E897" s="57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 ht="21.0" customHeight="1">
      <c r="A898" s="55"/>
      <c r="B898" s="60"/>
      <c r="C898" s="60"/>
      <c r="D898" s="57"/>
      <c r="E898" s="57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 ht="21.0" customHeight="1">
      <c r="A899" s="55"/>
      <c r="B899" s="60"/>
      <c r="C899" s="60"/>
      <c r="D899" s="57"/>
      <c r="E899" s="57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 ht="21.0" customHeight="1">
      <c r="A900" s="55"/>
      <c r="B900" s="60"/>
      <c r="C900" s="60"/>
      <c r="D900" s="57"/>
      <c r="E900" s="57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 ht="21.0" customHeight="1">
      <c r="A901" s="55"/>
      <c r="B901" s="60"/>
      <c r="C901" s="60"/>
      <c r="D901" s="57"/>
      <c r="E901" s="57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 ht="21.0" customHeight="1">
      <c r="A902" s="55"/>
      <c r="B902" s="60"/>
      <c r="C902" s="60"/>
      <c r="D902" s="57"/>
      <c r="E902" s="57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 ht="21.0" customHeight="1">
      <c r="A903" s="55"/>
      <c r="B903" s="60"/>
      <c r="C903" s="60"/>
      <c r="D903" s="57"/>
      <c r="E903" s="57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 ht="21.0" customHeight="1">
      <c r="A904" s="55"/>
      <c r="B904" s="60"/>
      <c r="C904" s="60"/>
      <c r="D904" s="57"/>
      <c r="E904" s="57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 ht="21.0" customHeight="1">
      <c r="A905" s="55"/>
      <c r="B905" s="60"/>
      <c r="C905" s="60"/>
      <c r="D905" s="57"/>
      <c r="E905" s="57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 ht="21.0" customHeight="1">
      <c r="A906" s="55"/>
      <c r="B906" s="60"/>
      <c r="C906" s="60"/>
      <c r="D906" s="57"/>
      <c r="E906" s="57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 ht="21.0" customHeight="1">
      <c r="A907" s="55"/>
      <c r="B907" s="60"/>
      <c r="C907" s="60"/>
      <c r="D907" s="57"/>
      <c r="E907" s="57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 ht="21.0" customHeight="1">
      <c r="A908" s="55"/>
      <c r="B908" s="60"/>
      <c r="C908" s="60"/>
      <c r="D908" s="57"/>
      <c r="E908" s="57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 ht="21.0" customHeight="1">
      <c r="A909" s="55"/>
      <c r="B909" s="60"/>
      <c r="C909" s="60"/>
      <c r="D909" s="57"/>
      <c r="E909" s="57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 ht="21.0" customHeight="1">
      <c r="A910" s="55"/>
      <c r="B910" s="60"/>
      <c r="C910" s="60"/>
      <c r="D910" s="57"/>
      <c r="E910" s="57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 ht="21.0" customHeight="1">
      <c r="A911" s="55"/>
      <c r="B911" s="60"/>
      <c r="C911" s="60"/>
      <c r="D911" s="57"/>
      <c r="E911" s="57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 ht="21.0" customHeight="1">
      <c r="A912" s="55"/>
      <c r="B912" s="60"/>
      <c r="C912" s="60"/>
      <c r="D912" s="57"/>
      <c r="E912" s="57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 ht="21.0" customHeight="1">
      <c r="A913" s="55"/>
      <c r="B913" s="60"/>
      <c r="C913" s="60"/>
      <c r="D913" s="57"/>
      <c r="E913" s="57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 ht="21.0" customHeight="1">
      <c r="A914" s="55"/>
      <c r="B914" s="60"/>
      <c r="C914" s="60"/>
      <c r="D914" s="57"/>
      <c r="E914" s="57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 ht="21.0" customHeight="1">
      <c r="A915" s="55"/>
      <c r="B915" s="60"/>
      <c r="C915" s="60"/>
      <c r="D915" s="57"/>
      <c r="E915" s="57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 ht="21.0" customHeight="1">
      <c r="A916" s="55"/>
      <c r="B916" s="60"/>
      <c r="C916" s="60"/>
      <c r="D916" s="57"/>
      <c r="E916" s="57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 ht="21.0" customHeight="1">
      <c r="A917" s="55"/>
      <c r="B917" s="60"/>
      <c r="C917" s="60"/>
      <c r="D917" s="57"/>
      <c r="E917" s="57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 ht="21.0" customHeight="1">
      <c r="A918" s="55"/>
      <c r="B918" s="60"/>
      <c r="C918" s="60"/>
      <c r="D918" s="57"/>
      <c r="E918" s="57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 ht="21.0" customHeight="1">
      <c r="A919" s="55"/>
      <c r="B919" s="60"/>
      <c r="C919" s="60"/>
      <c r="D919" s="57"/>
      <c r="E919" s="57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 ht="21.0" customHeight="1">
      <c r="A920" s="55"/>
      <c r="B920" s="60"/>
      <c r="C920" s="60"/>
      <c r="D920" s="57"/>
      <c r="E920" s="57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 ht="21.0" customHeight="1">
      <c r="A921" s="55"/>
      <c r="B921" s="60"/>
      <c r="C921" s="60"/>
      <c r="D921" s="57"/>
      <c r="E921" s="57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 ht="21.0" customHeight="1">
      <c r="A922" s="55"/>
      <c r="B922" s="60"/>
      <c r="C922" s="60"/>
      <c r="D922" s="57"/>
      <c r="E922" s="57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 ht="21.0" customHeight="1">
      <c r="A923" s="55"/>
      <c r="B923" s="60"/>
      <c r="C923" s="60"/>
      <c r="D923" s="57"/>
      <c r="E923" s="57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 ht="21.0" customHeight="1">
      <c r="A924" s="55"/>
      <c r="B924" s="60"/>
      <c r="C924" s="60"/>
      <c r="D924" s="57"/>
      <c r="E924" s="57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 ht="21.0" customHeight="1">
      <c r="A925" s="55"/>
      <c r="B925" s="60"/>
      <c r="C925" s="60"/>
      <c r="D925" s="57"/>
      <c r="E925" s="57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 ht="21.0" customHeight="1">
      <c r="A926" s="55"/>
      <c r="B926" s="60"/>
      <c r="C926" s="60"/>
      <c r="D926" s="57"/>
      <c r="E926" s="57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 ht="21.0" customHeight="1">
      <c r="A927" s="55"/>
      <c r="B927" s="60"/>
      <c r="C927" s="60"/>
      <c r="D927" s="57"/>
      <c r="E927" s="57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 ht="21.0" customHeight="1">
      <c r="A928" s="55"/>
      <c r="B928" s="60"/>
      <c r="C928" s="60"/>
      <c r="D928" s="57"/>
      <c r="E928" s="57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 ht="21.0" customHeight="1">
      <c r="A929" s="55"/>
      <c r="B929" s="60"/>
      <c r="C929" s="60"/>
      <c r="D929" s="57"/>
      <c r="E929" s="57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 ht="21.0" customHeight="1">
      <c r="A930" s="55"/>
      <c r="B930" s="60"/>
      <c r="C930" s="60"/>
      <c r="D930" s="57"/>
      <c r="E930" s="57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 ht="21.0" customHeight="1">
      <c r="A931" s="55"/>
      <c r="B931" s="60"/>
      <c r="C931" s="60"/>
      <c r="D931" s="57"/>
      <c r="E931" s="57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 ht="21.0" customHeight="1">
      <c r="A932" s="55"/>
      <c r="B932" s="60"/>
      <c r="C932" s="60"/>
      <c r="D932" s="57"/>
      <c r="E932" s="57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 ht="21.0" customHeight="1">
      <c r="A933" s="55"/>
      <c r="B933" s="60"/>
      <c r="C933" s="60"/>
      <c r="D933" s="57"/>
      <c r="E933" s="57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 ht="21.0" customHeight="1">
      <c r="A934" s="55"/>
      <c r="B934" s="60"/>
      <c r="C934" s="60"/>
      <c r="D934" s="57"/>
      <c r="E934" s="57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 ht="21.0" customHeight="1">
      <c r="A935" s="55"/>
      <c r="B935" s="60"/>
      <c r="C935" s="60"/>
      <c r="D935" s="57"/>
      <c r="E935" s="57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 ht="21.0" customHeight="1">
      <c r="A936" s="55"/>
      <c r="B936" s="60"/>
      <c r="C936" s="60"/>
      <c r="D936" s="57"/>
      <c r="E936" s="57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 ht="21.0" customHeight="1">
      <c r="A937" s="55"/>
      <c r="B937" s="60"/>
      <c r="C937" s="60"/>
      <c r="D937" s="57"/>
      <c r="E937" s="57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 ht="21.0" customHeight="1">
      <c r="A938" s="55"/>
      <c r="B938" s="60"/>
      <c r="C938" s="60"/>
      <c r="D938" s="57"/>
      <c r="E938" s="57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 ht="21.0" customHeight="1">
      <c r="A939" s="55"/>
      <c r="B939" s="60"/>
      <c r="C939" s="60"/>
      <c r="D939" s="57"/>
      <c r="E939" s="57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 ht="21.0" customHeight="1">
      <c r="A940" s="55"/>
      <c r="B940" s="60"/>
      <c r="C940" s="60"/>
      <c r="D940" s="57"/>
      <c r="E940" s="57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 ht="21.0" customHeight="1">
      <c r="A941" s="55"/>
      <c r="B941" s="60"/>
      <c r="C941" s="60"/>
      <c r="D941" s="57"/>
      <c r="E941" s="57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 ht="21.0" customHeight="1">
      <c r="A942" s="55"/>
      <c r="B942" s="60"/>
      <c r="C942" s="60"/>
      <c r="D942" s="57"/>
      <c r="E942" s="57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 ht="21.0" customHeight="1">
      <c r="A943" s="55"/>
      <c r="B943" s="60"/>
      <c r="C943" s="60"/>
      <c r="D943" s="57"/>
      <c r="E943" s="57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 ht="21.0" customHeight="1">
      <c r="A944" s="55"/>
      <c r="B944" s="60"/>
      <c r="C944" s="60"/>
      <c r="D944" s="57"/>
      <c r="E944" s="57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 ht="21.0" customHeight="1">
      <c r="A945" s="55"/>
      <c r="B945" s="60"/>
      <c r="C945" s="60"/>
      <c r="D945" s="57"/>
      <c r="E945" s="57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 ht="21.0" customHeight="1">
      <c r="A946" s="55"/>
      <c r="B946" s="60"/>
      <c r="C946" s="60"/>
      <c r="D946" s="57"/>
      <c r="E946" s="57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 ht="21.0" customHeight="1">
      <c r="A947" s="55"/>
      <c r="B947" s="60"/>
      <c r="C947" s="60"/>
      <c r="D947" s="57"/>
      <c r="E947" s="57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 ht="21.0" customHeight="1">
      <c r="A948" s="55"/>
      <c r="B948" s="60"/>
      <c r="C948" s="60"/>
      <c r="D948" s="57"/>
      <c r="E948" s="57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 ht="21.0" customHeight="1">
      <c r="A949" s="55"/>
      <c r="B949" s="60"/>
      <c r="C949" s="60"/>
      <c r="D949" s="57"/>
      <c r="E949" s="57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 ht="21.0" customHeight="1">
      <c r="A950" s="55"/>
      <c r="B950" s="60"/>
      <c r="C950" s="60"/>
      <c r="D950" s="57"/>
      <c r="E950" s="57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 ht="21.0" customHeight="1">
      <c r="A951" s="55"/>
      <c r="B951" s="60"/>
      <c r="C951" s="60"/>
      <c r="D951" s="57"/>
      <c r="E951" s="57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 ht="21.0" customHeight="1">
      <c r="A952" s="55"/>
      <c r="B952" s="60"/>
      <c r="C952" s="60"/>
      <c r="D952" s="57"/>
      <c r="E952" s="57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 ht="21.0" customHeight="1">
      <c r="A953" s="55"/>
      <c r="B953" s="60"/>
      <c r="C953" s="60"/>
      <c r="D953" s="57"/>
      <c r="E953" s="57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 ht="21.0" customHeight="1">
      <c r="A954" s="55"/>
      <c r="B954" s="60"/>
      <c r="C954" s="60"/>
      <c r="D954" s="57"/>
      <c r="E954" s="57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 ht="21.0" customHeight="1">
      <c r="A955" s="55"/>
      <c r="B955" s="60"/>
      <c r="C955" s="60"/>
      <c r="D955" s="57"/>
      <c r="E955" s="57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 ht="21.0" customHeight="1">
      <c r="A956" s="55"/>
      <c r="B956" s="60"/>
      <c r="C956" s="60"/>
      <c r="D956" s="57"/>
      <c r="E956" s="57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 ht="21.0" customHeight="1">
      <c r="A957" s="55"/>
      <c r="B957" s="60"/>
      <c r="C957" s="60"/>
      <c r="D957" s="57"/>
      <c r="E957" s="57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 ht="21.0" customHeight="1">
      <c r="A958" s="55"/>
      <c r="B958" s="60"/>
      <c r="C958" s="60"/>
      <c r="D958" s="57"/>
      <c r="E958" s="57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 ht="21.0" customHeight="1">
      <c r="A959" s="55"/>
      <c r="B959" s="60"/>
      <c r="C959" s="60"/>
      <c r="D959" s="57"/>
      <c r="E959" s="57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 ht="21.0" customHeight="1">
      <c r="A960" s="55"/>
      <c r="B960" s="60"/>
      <c r="C960" s="60"/>
      <c r="D960" s="57"/>
      <c r="E960" s="57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 ht="21.0" customHeight="1">
      <c r="A961" s="55"/>
      <c r="B961" s="60"/>
      <c r="C961" s="60"/>
      <c r="D961" s="57"/>
      <c r="E961" s="57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 ht="21.0" customHeight="1">
      <c r="A962" s="55"/>
      <c r="B962" s="60"/>
      <c r="C962" s="60"/>
      <c r="D962" s="57"/>
      <c r="E962" s="57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 ht="21.0" customHeight="1">
      <c r="A963" s="55"/>
      <c r="B963" s="60"/>
      <c r="C963" s="60"/>
      <c r="D963" s="57"/>
      <c r="E963" s="57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 ht="21.0" customHeight="1">
      <c r="A964" s="55"/>
      <c r="B964" s="60"/>
      <c r="C964" s="60"/>
      <c r="D964" s="57"/>
      <c r="E964" s="57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 ht="21.0" customHeight="1">
      <c r="A965" s="55"/>
      <c r="B965" s="60"/>
      <c r="C965" s="60"/>
      <c r="D965" s="57"/>
      <c r="E965" s="57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 ht="21.0" customHeight="1">
      <c r="A966" s="55"/>
      <c r="B966" s="60"/>
      <c r="C966" s="60"/>
      <c r="D966" s="57"/>
      <c r="E966" s="57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 ht="21.0" customHeight="1">
      <c r="A967" s="55"/>
      <c r="B967" s="60"/>
      <c r="C967" s="60"/>
      <c r="D967" s="57"/>
      <c r="E967" s="57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 ht="21.0" customHeight="1">
      <c r="A968" s="55"/>
      <c r="B968" s="60"/>
      <c r="C968" s="60"/>
      <c r="D968" s="57"/>
      <c r="E968" s="57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 ht="21.0" customHeight="1">
      <c r="A969" s="55"/>
      <c r="B969" s="60"/>
      <c r="C969" s="60"/>
      <c r="D969" s="57"/>
      <c r="E969" s="57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 ht="21.0" customHeight="1">
      <c r="A970" s="55"/>
      <c r="B970" s="60"/>
      <c r="C970" s="60"/>
      <c r="D970" s="57"/>
      <c r="E970" s="57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 ht="21.0" customHeight="1">
      <c r="A971" s="55"/>
      <c r="B971" s="60"/>
      <c r="C971" s="60"/>
      <c r="D971" s="57"/>
      <c r="E971" s="57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 ht="21.0" customHeight="1">
      <c r="A972" s="55"/>
      <c r="B972" s="60"/>
      <c r="C972" s="60"/>
      <c r="D972" s="57"/>
      <c r="E972" s="57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 ht="21.0" customHeight="1">
      <c r="A973" s="55"/>
      <c r="B973" s="60"/>
      <c r="C973" s="60"/>
      <c r="D973" s="57"/>
      <c r="E973" s="57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 ht="21.0" customHeight="1">
      <c r="A974" s="55"/>
      <c r="B974" s="60"/>
      <c r="C974" s="60"/>
      <c r="D974" s="57"/>
      <c r="E974" s="57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 ht="21.0" customHeight="1">
      <c r="A975" s="55"/>
      <c r="B975" s="60"/>
      <c r="C975" s="60"/>
      <c r="D975" s="57"/>
      <c r="E975" s="57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 ht="21.0" customHeight="1">
      <c r="A976" s="55"/>
      <c r="B976" s="60"/>
      <c r="C976" s="60"/>
      <c r="D976" s="57"/>
      <c r="E976" s="57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 ht="21.0" customHeight="1">
      <c r="A977" s="55"/>
      <c r="B977" s="60"/>
      <c r="C977" s="60"/>
      <c r="D977" s="57"/>
      <c r="E977" s="57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 ht="21.0" customHeight="1">
      <c r="A978" s="55"/>
      <c r="B978" s="60"/>
      <c r="C978" s="60"/>
      <c r="D978" s="57"/>
      <c r="E978" s="57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 ht="21.0" customHeight="1">
      <c r="A979" s="55"/>
      <c r="B979" s="60"/>
      <c r="C979" s="60"/>
      <c r="D979" s="57"/>
      <c r="E979" s="57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 ht="21.0" customHeight="1">
      <c r="A980" s="55"/>
      <c r="B980" s="60"/>
      <c r="C980" s="60"/>
      <c r="D980" s="57"/>
      <c r="E980" s="57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 ht="21.0" customHeight="1">
      <c r="A981" s="55"/>
      <c r="B981" s="60"/>
      <c r="C981" s="60"/>
      <c r="D981" s="57"/>
      <c r="E981" s="57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 ht="21.0" customHeight="1">
      <c r="A982" s="55"/>
      <c r="B982" s="60"/>
      <c r="C982" s="60"/>
      <c r="D982" s="57"/>
      <c r="E982" s="57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 ht="21.0" customHeight="1">
      <c r="A983" s="55"/>
      <c r="B983" s="60"/>
      <c r="C983" s="60"/>
      <c r="D983" s="57"/>
      <c r="E983" s="57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 ht="21.0" customHeight="1">
      <c r="A984" s="55"/>
      <c r="B984" s="60"/>
      <c r="C984" s="60"/>
      <c r="D984" s="57"/>
      <c r="E984" s="57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</row>
    <row r="985" ht="21.0" customHeight="1">
      <c r="A985" s="55"/>
      <c r="B985" s="60"/>
      <c r="C985" s="60"/>
      <c r="D985" s="57"/>
      <c r="E985" s="57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</row>
    <row r="986" ht="21.0" customHeight="1">
      <c r="A986" s="55"/>
      <c r="B986" s="60"/>
      <c r="C986" s="60"/>
      <c r="D986" s="57"/>
      <c r="E986" s="57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</row>
    <row r="987" ht="21.0" customHeight="1">
      <c r="A987" s="55"/>
      <c r="B987" s="60"/>
      <c r="C987" s="60"/>
      <c r="D987" s="57"/>
      <c r="E987" s="57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</row>
    <row r="988" ht="21.0" customHeight="1">
      <c r="A988" s="55"/>
      <c r="B988" s="60"/>
      <c r="C988" s="60"/>
      <c r="D988" s="57"/>
      <c r="E988" s="57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</row>
    <row r="989" ht="21.0" customHeight="1">
      <c r="A989" s="55"/>
      <c r="B989" s="60"/>
      <c r="C989" s="60"/>
      <c r="D989" s="57"/>
      <c r="E989" s="57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</row>
    <row r="990" ht="21.0" customHeight="1">
      <c r="A990" s="55"/>
      <c r="B990" s="60"/>
      <c r="C990" s="60"/>
      <c r="D990" s="57"/>
      <c r="E990" s="57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</row>
    <row r="991" ht="21.0" customHeight="1">
      <c r="A991" s="55"/>
      <c r="B991" s="60"/>
      <c r="C991" s="60"/>
      <c r="D991" s="57"/>
      <c r="E991" s="57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</row>
    <row r="992" ht="21.0" customHeight="1">
      <c r="A992" s="55"/>
      <c r="B992" s="60"/>
      <c r="C992" s="60"/>
      <c r="D992" s="57"/>
      <c r="E992" s="57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</row>
    <row r="993" ht="21.0" customHeight="1">
      <c r="A993" s="55"/>
      <c r="B993" s="60"/>
      <c r="C993" s="60"/>
      <c r="D993" s="57"/>
      <c r="E993" s="57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 ht="21.0" customHeight="1">
      <c r="A994" s="55"/>
      <c r="B994" s="60"/>
      <c r="C994" s="60"/>
      <c r="D994" s="57"/>
      <c r="E994" s="57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 ht="21.0" customHeight="1">
      <c r="A995" s="55"/>
      <c r="B995" s="60"/>
      <c r="C995" s="60"/>
      <c r="D995" s="57"/>
      <c r="E995" s="57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 ht="21.0" customHeight="1">
      <c r="A996" s="55"/>
      <c r="B996" s="60"/>
      <c r="C996" s="60"/>
      <c r="D996" s="57"/>
      <c r="E996" s="57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 ht="21.0" customHeight="1">
      <c r="A997" s="55"/>
      <c r="B997" s="60"/>
      <c r="C997" s="60"/>
      <c r="D997" s="57"/>
      <c r="E997" s="57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 ht="21.0" customHeight="1">
      <c r="A998" s="55"/>
      <c r="B998" s="60"/>
      <c r="C998" s="60"/>
      <c r="D998" s="57"/>
      <c r="E998" s="57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 ht="21.0" customHeight="1">
      <c r="A999" s="55"/>
      <c r="B999" s="60"/>
      <c r="C999" s="60"/>
      <c r="D999" s="57"/>
      <c r="E999" s="57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 ht="21.0" customHeight="1">
      <c r="A1000" s="55"/>
      <c r="B1000" s="60"/>
      <c r="C1000" s="60"/>
      <c r="D1000" s="57"/>
      <c r="E1000" s="57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  <row r="1001" ht="21.0" customHeight="1">
      <c r="A1001" s="55"/>
      <c r="B1001" s="60"/>
      <c r="C1001" s="60"/>
      <c r="D1001" s="57"/>
      <c r="E1001" s="57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</row>
    <row r="1002" ht="21.0" customHeight="1">
      <c r="A1002" s="55"/>
      <c r="B1002" s="60"/>
      <c r="C1002" s="60"/>
      <c r="D1002" s="57"/>
      <c r="E1002" s="57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</row>
    <row r="1003" ht="21.0" customHeight="1">
      <c r="A1003" s="55"/>
      <c r="B1003" s="60"/>
      <c r="C1003" s="60"/>
      <c r="D1003" s="57"/>
      <c r="E1003" s="57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</row>
    <row r="1004" ht="21.0" customHeight="1">
      <c r="A1004" s="55"/>
      <c r="B1004" s="60"/>
      <c r="C1004" s="60"/>
      <c r="D1004" s="57"/>
      <c r="E1004" s="57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</row>
    <row r="1005" ht="21.0" customHeight="1">
      <c r="A1005" s="55"/>
      <c r="B1005" s="60"/>
      <c r="C1005" s="60"/>
      <c r="D1005" s="57"/>
      <c r="E1005" s="57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</row>
    <row r="1006" ht="21.0" customHeight="1">
      <c r="A1006" s="55"/>
      <c r="B1006" s="60"/>
      <c r="C1006" s="60"/>
      <c r="D1006" s="57"/>
      <c r="E1006" s="57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</row>
    <row r="1007" ht="21.0" customHeight="1">
      <c r="A1007" s="55"/>
      <c r="B1007" s="60"/>
      <c r="C1007" s="60"/>
      <c r="D1007" s="57"/>
      <c r="E1007" s="57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</row>
    <row r="1008" ht="21.0" customHeight="1">
      <c r="A1008" s="55"/>
      <c r="B1008" s="60"/>
      <c r="C1008" s="60"/>
      <c r="D1008" s="57"/>
      <c r="E1008" s="57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</row>
    <row r="1009" ht="21.0" customHeight="1">
      <c r="A1009" s="55"/>
      <c r="B1009" s="60"/>
      <c r="C1009" s="60"/>
      <c r="D1009" s="57"/>
      <c r="E1009" s="57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</row>
    <row r="1010" ht="21.0" customHeight="1">
      <c r="A1010" s="55"/>
      <c r="B1010" s="60"/>
      <c r="C1010" s="60"/>
      <c r="D1010" s="57"/>
      <c r="E1010" s="57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</row>
    <row r="1011" ht="21.0" customHeight="1">
      <c r="A1011" s="55"/>
      <c r="B1011" s="60"/>
      <c r="C1011" s="60"/>
      <c r="D1011" s="57"/>
      <c r="E1011" s="57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</row>
    <row r="1012" ht="21.0" customHeight="1">
      <c r="A1012" s="55"/>
      <c r="B1012" s="60"/>
      <c r="C1012" s="60"/>
      <c r="D1012" s="57"/>
      <c r="E1012" s="57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</row>
    <row r="1013" ht="21.0" customHeight="1">
      <c r="A1013" s="55"/>
      <c r="B1013" s="60"/>
      <c r="C1013" s="60"/>
      <c r="D1013" s="57"/>
      <c r="E1013" s="57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</row>
    <row r="1014" ht="21.0" customHeight="1">
      <c r="A1014" s="55"/>
      <c r="B1014" s="60"/>
      <c r="C1014" s="60"/>
      <c r="D1014" s="57"/>
      <c r="E1014" s="57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</row>
    <row r="1015" ht="21.0" customHeight="1">
      <c r="A1015" s="55"/>
      <c r="B1015" s="60"/>
      <c r="C1015" s="60"/>
      <c r="D1015" s="57"/>
      <c r="E1015" s="57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</row>
    <row r="1016" ht="21.0" customHeight="1">
      <c r="A1016" s="55"/>
      <c r="B1016" s="60"/>
      <c r="C1016" s="60"/>
      <c r="D1016" s="57"/>
      <c r="E1016" s="57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</row>
    <row r="1017" ht="21.0" customHeight="1">
      <c r="A1017" s="55"/>
      <c r="B1017" s="60"/>
      <c r="C1017" s="60"/>
      <c r="D1017" s="57"/>
      <c r="E1017" s="57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</row>
    <row r="1018" ht="21.0" customHeight="1">
      <c r="A1018" s="55"/>
      <c r="B1018" s="60"/>
      <c r="C1018" s="60"/>
      <c r="D1018" s="57"/>
      <c r="E1018" s="57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</row>
    <row r="1019" ht="21.0" customHeight="1">
      <c r="A1019" s="55"/>
      <c r="B1019" s="60"/>
      <c r="C1019" s="60"/>
      <c r="D1019" s="57"/>
      <c r="E1019" s="57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</row>
    <row r="1020" ht="21.0" customHeight="1">
      <c r="A1020" s="55"/>
      <c r="B1020" s="60"/>
      <c r="C1020" s="60"/>
      <c r="D1020" s="57"/>
      <c r="E1020" s="57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</row>
    <row r="1021" ht="21.0" customHeight="1">
      <c r="A1021" s="55"/>
      <c r="B1021" s="60"/>
      <c r="C1021" s="60"/>
      <c r="D1021" s="57"/>
      <c r="E1021" s="57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</row>
    <row r="1022" ht="21.0" customHeight="1">
      <c r="A1022" s="55"/>
      <c r="B1022" s="60"/>
      <c r="C1022" s="60"/>
      <c r="D1022" s="57"/>
      <c r="E1022" s="57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</row>
    <row r="1023" ht="21.0" customHeight="1">
      <c r="A1023" s="55"/>
      <c r="B1023" s="60"/>
      <c r="C1023" s="60"/>
      <c r="D1023" s="57"/>
      <c r="E1023" s="57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</row>
    <row r="1024" ht="21.0" customHeight="1">
      <c r="A1024" s="55"/>
      <c r="B1024" s="60"/>
      <c r="C1024" s="60"/>
      <c r="D1024" s="57"/>
      <c r="E1024" s="57"/>
      <c r="F1024" s="56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</row>
    <row r="1025" ht="21.0" customHeight="1">
      <c r="A1025" s="55"/>
      <c r="B1025" s="60"/>
      <c r="C1025" s="60"/>
      <c r="D1025" s="57"/>
      <c r="E1025" s="57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</row>
    <row r="1026" ht="21.0" customHeight="1">
      <c r="A1026" s="55"/>
      <c r="B1026" s="60"/>
      <c r="C1026" s="60"/>
      <c r="D1026" s="57"/>
      <c r="E1026" s="57"/>
      <c r="F1026" s="56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</row>
    <row r="1027" ht="21.0" customHeight="1">
      <c r="A1027" s="55"/>
      <c r="B1027" s="60"/>
      <c r="C1027" s="60"/>
      <c r="D1027" s="57"/>
      <c r="E1027" s="57"/>
      <c r="F1027" s="56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</row>
    <row r="1028" ht="21.0" customHeight="1">
      <c r="A1028" s="55"/>
      <c r="B1028" s="60"/>
      <c r="C1028" s="60"/>
      <c r="D1028" s="57"/>
      <c r="E1028" s="57"/>
      <c r="F1028" s="56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</row>
    <row r="1029" ht="21.0" customHeight="1">
      <c r="A1029" s="55"/>
      <c r="B1029" s="60"/>
      <c r="C1029" s="60"/>
      <c r="D1029" s="57"/>
      <c r="E1029" s="57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</row>
    <row r="1030" ht="21.0" customHeight="1">
      <c r="A1030" s="55"/>
      <c r="B1030" s="60"/>
      <c r="C1030" s="60"/>
      <c r="D1030" s="57"/>
      <c r="E1030" s="57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</row>
    <row r="1031" ht="21.0" customHeight="1">
      <c r="A1031" s="55"/>
      <c r="B1031" s="60"/>
      <c r="C1031" s="60"/>
      <c r="D1031" s="57"/>
      <c r="E1031" s="57"/>
      <c r="F1031" s="56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</row>
    <row r="1032" ht="21.0" customHeight="1">
      <c r="A1032" s="55"/>
      <c r="B1032" s="60"/>
      <c r="C1032" s="60"/>
      <c r="D1032" s="57"/>
      <c r="E1032" s="57"/>
      <c r="F1032" s="56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</row>
    <row r="1033" ht="21.0" customHeight="1">
      <c r="A1033" s="55"/>
      <c r="B1033" s="60"/>
      <c r="C1033" s="60"/>
      <c r="D1033" s="57"/>
      <c r="E1033" s="57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</row>
    <row r="1034" ht="21.0" customHeight="1">
      <c r="A1034" s="55"/>
      <c r="B1034" s="60"/>
      <c r="C1034" s="60"/>
      <c r="D1034" s="57"/>
      <c r="E1034" s="57"/>
      <c r="F1034" s="56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</row>
    <row r="1035" ht="21.0" customHeight="1">
      <c r="A1035" s="55"/>
      <c r="B1035" s="60"/>
      <c r="C1035" s="60"/>
      <c r="D1035" s="57"/>
      <c r="E1035" s="57"/>
      <c r="F1035" s="56"/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</row>
    <row r="1036" ht="21.0" customHeight="1">
      <c r="A1036" s="55"/>
      <c r="B1036" s="60"/>
      <c r="C1036" s="60"/>
      <c r="D1036" s="57"/>
      <c r="E1036" s="57"/>
      <c r="F1036" s="56"/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</row>
    <row r="1037" ht="21.0" customHeight="1">
      <c r="A1037" s="55"/>
      <c r="B1037" s="60"/>
      <c r="C1037" s="60"/>
      <c r="D1037" s="57"/>
      <c r="E1037" s="57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</row>
    <row r="1038" ht="21.0" customHeight="1">
      <c r="A1038" s="55"/>
      <c r="B1038" s="60"/>
      <c r="C1038" s="60"/>
      <c r="D1038" s="57"/>
      <c r="E1038" s="57"/>
      <c r="F1038" s="56"/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</row>
    <row r="1039" ht="21.0" customHeight="1">
      <c r="A1039" s="55"/>
      <c r="B1039" s="60"/>
      <c r="C1039" s="60"/>
      <c r="D1039" s="57"/>
      <c r="E1039" s="57"/>
      <c r="F1039" s="56"/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</row>
    <row r="1040" ht="21.0" customHeight="1">
      <c r="A1040" s="55"/>
      <c r="B1040" s="60"/>
      <c r="C1040" s="60"/>
      <c r="D1040" s="57"/>
      <c r="E1040" s="57"/>
      <c r="F1040" s="56"/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</row>
    <row r="1041" ht="21.0" customHeight="1">
      <c r="A1041" s="55"/>
      <c r="B1041" s="60"/>
      <c r="C1041" s="60"/>
      <c r="D1041" s="57"/>
      <c r="E1041" s="57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</row>
    <row r="1042" ht="21.0" customHeight="1">
      <c r="A1042" s="55"/>
      <c r="B1042" s="60"/>
      <c r="C1042" s="60"/>
      <c r="D1042" s="57"/>
      <c r="E1042" s="57"/>
      <c r="F1042" s="56"/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</row>
    <row r="1043" ht="21.0" customHeight="1">
      <c r="A1043" s="55"/>
      <c r="B1043" s="60"/>
      <c r="C1043" s="60"/>
      <c r="D1043" s="57"/>
      <c r="E1043" s="57"/>
      <c r="F1043" s="56"/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</row>
    <row r="1044" ht="21.0" customHeight="1">
      <c r="A1044" s="55"/>
      <c r="B1044" s="60"/>
      <c r="C1044" s="60"/>
      <c r="D1044" s="57"/>
      <c r="E1044" s="57"/>
      <c r="F1044" s="56"/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</row>
    <row r="1045" ht="21.0" customHeight="1">
      <c r="A1045" s="55"/>
      <c r="B1045" s="60"/>
      <c r="C1045" s="60"/>
      <c r="D1045" s="57"/>
      <c r="E1045" s="57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</row>
    <row r="1046" ht="21.0" customHeight="1">
      <c r="A1046" s="55"/>
      <c r="B1046" s="60"/>
      <c r="C1046" s="60"/>
      <c r="D1046" s="57"/>
      <c r="E1046" s="57"/>
      <c r="F1046" s="56"/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</row>
    <row r="1047" ht="21.0" customHeight="1">
      <c r="A1047" s="55"/>
      <c r="B1047" s="60"/>
      <c r="C1047" s="60"/>
      <c r="D1047" s="57"/>
      <c r="E1047" s="57"/>
      <c r="F1047" s="56"/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</row>
    <row r="1048" ht="21.0" customHeight="1">
      <c r="A1048" s="55"/>
      <c r="B1048" s="60"/>
      <c r="C1048" s="60"/>
      <c r="D1048" s="57"/>
      <c r="E1048" s="57"/>
      <c r="F1048" s="56"/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</row>
    <row r="1049" ht="21.0" customHeight="1">
      <c r="A1049" s="55"/>
      <c r="B1049" s="60"/>
      <c r="C1049" s="60"/>
      <c r="D1049" s="57"/>
      <c r="E1049" s="57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</row>
    <row r="1050" ht="21.0" customHeight="1">
      <c r="A1050" s="55"/>
      <c r="B1050" s="60"/>
      <c r="C1050" s="60"/>
      <c r="D1050" s="57"/>
      <c r="E1050" s="57"/>
      <c r="F1050" s="56"/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</row>
    <row r="1051" ht="21.0" customHeight="1">
      <c r="A1051" s="55"/>
      <c r="B1051" s="60"/>
      <c r="C1051" s="60"/>
      <c r="D1051" s="57"/>
      <c r="E1051" s="57"/>
      <c r="F1051" s="56"/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6"/>
    </row>
    <row r="1052" ht="21.0" customHeight="1">
      <c r="A1052" s="55"/>
      <c r="B1052" s="60"/>
      <c r="C1052" s="60"/>
      <c r="D1052" s="57"/>
      <c r="E1052" s="57"/>
      <c r="F1052" s="56"/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</row>
    <row r="1053" ht="21.0" customHeight="1">
      <c r="A1053" s="55"/>
      <c r="B1053" s="60"/>
      <c r="C1053" s="60"/>
      <c r="D1053" s="57"/>
      <c r="E1053" s="57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</row>
    <row r="1054" ht="21.0" customHeight="1">
      <c r="A1054" s="55"/>
      <c r="B1054" s="60"/>
      <c r="C1054" s="60"/>
      <c r="D1054" s="57"/>
      <c r="E1054" s="57"/>
      <c r="F1054" s="56"/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</row>
    <row r="1055" ht="21.0" customHeight="1">
      <c r="A1055" s="55"/>
      <c r="B1055" s="60"/>
      <c r="C1055" s="60"/>
      <c r="D1055" s="57"/>
      <c r="E1055" s="57"/>
      <c r="F1055" s="56"/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6"/>
    </row>
    <row r="1056" ht="21.0" customHeight="1">
      <c r="A1056" s="55"/>
      <c r="B1056" s="60"/>
      <c r="C1056" s="60"/>
      <c r="D1056" s="57"/>
      <c r="E1056" s="57"/>
      <c r="F1056" s="56"/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</row>
    <row r="1057" ht="21.0" customHeight="1">
      <c r="A1057" s="55"/>
      <c r="B1057" s="60"/>
      <c r="C1057" s="60"/>
      <c r="D1057" s="57"/>
      <c r="E1057" s="57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6"/>
    </row>
    <row r="1058" ht="21.0" customHeight="1">
      <c r="A1058" s="55"/>
      <c r="B1058" s="60"/>
      <c r="C1058" s="60"/>
      <c r="D1058" s="57"/>
      <c r="E1058" s="57"/>
      <c r="F1058" s="56"/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  <c r="AB1058" s="56"/>
    </row>
    <row r="1059" ht="21.0" customHeight="1">
      <c r="A1059" s="55"/>
      <c r="B1059" s="60"/>
      <c r="C1059" s="60"/>
      <c r="D1059" s="57"/>
      <c r="E1059" s="57"/>
      <c r="F1059" s="56"/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6"/>
    </row>
    <row r="1060" ht="21.0" customHeight="1">
      <c r="A1060" s="55"/>
      <c r="B1060" s="60"/>
      <c r="C1060" s="60"/>
      <c r="D1060" s="57"/>
      <c r="E1060" s="57"/>
      <c r="F1060" s="56"/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  <c r="AB1060" s="56"/>
    </row>
    <row r="1061" ht="21.0" customHeight="1">
      <c r="A1061" s="55"/>
      <c r="B1061" s="60"/>
      <c r="C1061" s="60"/>
      <c r="D1061" s="57"/>
      <c r="E1061" s="57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6"/>
    </row>
    <row r="1062" ht="21.0" customHeight="1">
      <c r="A1062" s="55"/>
      <c r="B1062" s="60"/>
      <c r="C1062" s="60"/>
      <c r="D1062" s="57"/>
      <c r="E1062" s="57"/>
      <c r="F1062" s="56"/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  <c r="AB1062" s="56"/>
    </row>
    <row r="1063" ht="21.0" customHeight="1">
      <c r="A1063" s="55"/>
      <c r="B1063" s="60"/>
      <c r="C1063" s="60"/>
      <c r="D1063" s="57"/>
      <c r="E1063" s="57"/>
      <c r="F1063" s="56"/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6"/>
    </row>
    <row r="1064" ht="21.0" customHeight="1">
      <c r="A1064" s="55"/>
      <c r="B1064" s="60"/>
      <c r="C1064" s="60"/>
      <c r="D1064" s="57"/>
      <c r="E1064" s="57"/>
      <c r="F1064" s="56"/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  <c r="AB1064" s="56"/>
    </row>
    <row r="1065" ht="21.0" customHeight="1">
      <c r="A1065" s="55"/>
      <c r="B1065" s="60"/>
      <c r="C1065" s="60"/>
      <c r="D1065" s="57"/>
      <c r="E1065" s="57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6"/>
    </row>
    <row r="1066" ht="21.0" customHeight="1">
      <c r="A1066" s="55"/>
      <c r="B1066" s="60"/>
      <c r="C1066" s="60"/>
      <c r="D1066" s="57"/>
      <c r="E1066" s="57"/>
      <c r="F1066" s="56"/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  <c r="AB1066" s="56"/>
    </row>
    <row r="1067" ht="21.0" customHeight="1">
      <c r="A1067" s="55"/>
      <c r="B1067" s="60"/>
      <c r="C1067" s="60"/>
      <c r="D1067" s="57"/>
      <c r="E1067" s="57"/>
      <c r="F1067" s="56"/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6"/>
    </row>
    <row r="1068" ht="21.0" customHeight="1">
      <c r="A1068" s="55"/>
      <c r="B1068" s="60"/>
      <c r="C1068" s="60"/>
      <c r="D1068" s="57"/>
      <c r="E1068" s="57"/>
      <c r="F1068" s="56"/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  <c r="AB1068" s="56"/>
    </row>
    <row r="1069" ht="21.0" customHeight="1">
      <c r="A1069" s="55"/>
      <c r="B1069" s="60"/>
      <c r="C1069" s="60"/>
      <c r="D1069" s="57"/>
      <c r="E1069" s="57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6"/>
    </row>
    <row r="1070" ht="21.0" customHeight="1">
      <c r="A1070" s="55"/>
      <c r="B1070" s="60"/>
      <c r="C1070" s="60"/>
      <c r="D1070" s="57"/>
      <c r="E1070" s="57"/>
      <c r="F1070" s="56"/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  <c r="AB1070" s="56"/>
    </row>
    <row r="1071" ht="21.0" customHeight="1">
      <c r="A1071" s="55"/>
      <c r="B1071" s="60"/>
      <c r="C1071" s="60"/>
      <c r="D1071" s="57"/>
      <c r="E1071" s="57"/>
      <c r="F1071" s="56"/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6"/>
    </row>
    <row r="1072" ht="21.0" customHeight="1">
      <c r="A1072" s="55"/>
      <c r="B1072" s="60"/>
      <c r="C1072" s="60"/>
      <c r="D1072" s="57"/>
      <c r="E1072" s="57"/>
      <c r="F1072" s="56"/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  <c r="AA1072" s="56"/>
      <c r="AB1072" s="56"/>
    </row>
    <row r="1073" ht="21.0" customHeight="1">
      <c r="A1073" s="55"/>
      <c r="B1073" s="60"/>
      <c r="C1073" s="60"/>
      <c r="D1073" s="57"/>
      <c r="E1073" s="57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  <c r="AB1073" s="56"/>
    </row>
    <row r="1074" ht="21.0" customHeight="1">
      <c r="A1074" s="55"/>
      <c r="B1074" s="60"/>
      <c r="C1074" s="60"/>
      <c r="D1074" s="57"/>
      <c r="E1074" s="57"/>
      <c r="F1074" s="56"/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  <c r="AB1074" s="56"/>
    </row>
    <row r="1075" ht="21.0" customHeight="1">
      <c r="A1075" s="55"/>
      <c r="B1075" s="60"/>
      <c r="C1075" s="60"/>
      <c r="D1075" s="57"/>
      <c r="E1075" s="57"/>
      <c r="F1075" s="56"/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6"/>
    </row>
    <row r="1076" ht="21.0" customHeight="1">
      <c r="A1076" s="55"/>
      <c r="B1076" s="60"/>
      <c r="C1076" s="60"/>
      <c r="D1076" s="57"/>
      <c r="E1076" s="57"/>
      <c r="F1076" s="56"/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  <c r="AB1076" s="56"/>
    </row>
    <row r="1077" ht="21.0" customHeight="1">
      <c r="A1077" s="55"/>
      <c r="B1077" s="60"/>
      <c r="C1077" s="60"/>
      <c r="D1077" s="57"/>
      <c r="E1077" s="57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  <c r="AB1077" s="56"/>
    </row>
    <row r="1078" ht="21.0" customHeight="1">
      <c r="A1078" s="55"/>
      <c r="B1078" s="60"/>
      <c r="C1078" s="60"/>
      <c r="D1078" s="57"/>
      <c r="E1078" s="57"/>
      <c r="F1078" s="56"/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  <c r="AA1078" s="56"/>
      <c r="AB1078" s="56"/>
    </row>
    <row r="1079" ht="21.0" customHeight="1">
      <c r="A1079" s="55"/>
      <c r="B1079" s="60"/>
      <c r="C1079" s="60"/>
      <c r="D1079" s="57"/>
      <c r="E1079" s="57"/>
      <c r="F1079" s="56"/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  <c r="AB1079" s="56"/>
    </row>
    <row r="1080" ht="21.0" customHeight="1">
      <c r="A1080" s="55"/>
      <c r="B1080" s="60"/>
      <c r="C1080" s="60"/>
      <c r="D1080" s="57"/>
      <c r="E1080" s="57"/>
      <c r="F1080" s="56"/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  <c r="AA1080" s="56"/>
      <c r="AB1080" s="56"/>
    </row>
    <row r="1081" ht="21.0" customHeight="1">
      <c r="A1081" s="55"/>
      <c r="B1081" s="60"/>
      <c r="C1081" s="60"/>
      <c r="D1081" s="57"/>
      <c r="E1081" s="57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  <c r="AA1081" s="56"/>
      <c r="AB1081" s="56"/>
    </row>
    <row r="1082" ht="21.0" customHeight="1">
      <c r="A1082" s="55"/>
      <c r="B1082" s="60"/>
      <c r="C1082" s="60"/>
      <c r="D1082" s="57"/>
      <c r="E1082" s="57"/>
      <c r="F1082" s="56"/>
      <c r="G1082" s="56"/>
      <c r="H1082" s="56"/>
      <c r="I1082" s="56"/>
      <c r="J1082" s="56"/>
      <c r="K1082" s="56"/>
      <c r="L1082" s="56"/>
      <c r="M1082" s="56"/>
      <c r="N1082" s="56"/>
      <c r="O1082" s="56"/>
      <c r="P1082" s="56"/>
      <c r="Q1082" s="56"/>
      <c r="R1082" s="56"/>
      <c r="S1082" s="56"/>
      <c r="T1082" s="56"/>
      <c r="U1082" s="56"/>
      <c r="V1082" s="56"/>
      <c r="W1082" s="56"/>
      <c r="X1082" s="56"/>
      <c r="Y1082" s="56"/>
      <c r="Z1082" s="56"/>
      <c r="AA1082" s="56"/>
      <c r="AB1082" s="56"/>
    </row>
    <row r="1083" ht="21.0" customHeight="1">
      <c r="A1083" s="55"/>
      <c r="B1083" s="60"/>
      <c r="C1083" s="60"/>
      <c r="D1083" s="57"/>
      <c r="E1083" s="57"/>
      <c r="F1083" s="56"/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  <c r="X1083" s="56"/>
      <c r="Y1083" s="56"/>
      <c r="Z1083" s="56"/>
      <c r="AA1083" s="56"/>
      <c r="AB1083" s="56"/>
    </row>
    <row r="1084" ht="21.0" customHeight="1">
      <c r="A1084" s="55"/>
      <c r="B1084" s="60"/>
      <c r="C1084" s="60"/>
      <c r="D1084" s="57"/>
      <c r="E1084" s="57"/>
      <c r="F1084" s="56"/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  <c r="X1084" s="56"/>
      <c r="Y1084" s="56"/>
      <c r="Z1084" s="56"/>
      <c r="AA1084" s="56"/>
      <c r="AB1084" s="56"/>
    </row>
    <row r="1085" ht="21.0" customHeight="1">
      <c r="A1085" s="55"/>
      <c r="B1085" s="60"/>
      <c r="C1085" s="60"/>
      <c r="D1085" s="57"/>
      <c r="E1085" s="57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  <c r="AA1085" s="56"/>
      <c r="AB1085" s="56"/>
    </row>
    <row r="1086" ht="21.0" customHeight="1">
      <c r="A1086" s="55"/>
      <c r="B1086" s="60"/>
      <c r="C1086" s="60"/>
      <c r="D1086" s="57"/>
      <c r="E1086" s="57"/>
      <c r="F1086" s="56"/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  <c r="X1086" s="56"/>
      <c r="Y1086" s="56"/>
      <c r="Z1086" s="56"/>
      <c r="AA1086" s="56"/>
      <c r="AB1086" s="56"/>
    </row>
    <row r="1087" ht="21.0" customHeight="1">
      <c r="A1087" s="55"/>
      <c r="B1087" s="60"/>
      <c r="C1087" s="60"/>
      <c r="D1087" s="57"/>
      <c r="E1087" s="57"/>
      <c r="F1087" s="56"/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  <c r="AA1087" s="56"/>
      <c r="AB1087" s="56"/>
    </row>
    <row r="1088" ht="21.0" customHeight="1">
      <c r="A1088" s="55"/>
      <c r="B1088" s="60"/>
      <c r="C1088" s="60"/>
      <c r="D1088" s="57"/>
      <c r="E1088" s="57"/>
      <c r="F1088" s="56"/>
      <c r="G1088" s="56"/>
      <c r="H1088" s="56"/>
      <c r="I1088" s="56"/>
      <c r="J1088" s="56"/>
      <c r="K1088" s="56"/>
      <c r="L1088" s="56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  <c r="X1088" s="56"/>
      <c r="Y1088" s="56"/>
      <c r="Z1088" s="56"/>
      <c r="AA1088" s="56"/>
      <c r="AB1088" s="56"/>
    </row>
    <row r="1089" ht="21.0" customHeight="1">
      <c r="A1089" s="55"/>
      <c r="B1089" s="60"/>
      <c r="C1089" s="60"/>
      <c r="D1089" s="57"/>
      <c r="E1089" s="57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  <c r="AA1089" s="56"/>
      <c r="AB1089" s="56"/>
    </row>
    <row r="1090" ht="21.0" customHeight="1">
      <c r="A1090" s="55"/>
      <c r="B1090" s="60"/>
      <c r="C1090" s="60"/>
      <c r="D1090" s="57"/>
      <c r="E1090" s="57"/>
      <c r="F1090" s="56"/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  <c r="X1090" s="56"/>
      <c r="Y1090" s="56"/>
      <c r="Z1090" s="56"/>
      <c r="AA1090" s="56"/>
      <c r="AB1090" s="56"/>
    </row>
    <row r="1091" ht="21.0" customHeight="1">
      <c r="A1091" s="55"/>
      <c r="B1091" s="60"/>
      <c r="C1091" s="60"/>
      <c r="D1091" s="57"/>
      <c r="E1091" s="57"/>
      <c r="F1091" s="56"/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  <c r="X1091" s="56"/>
      <c r="Y1091" s="56"/>
      <c r="Z1091" s="56"/>
      <c r="AA1091" s="56"/>
      <c r="AB1091" s="56"/>
    </row>
    <row r="1092" ht="21.0" customHeight="1">
      <c r="A1092" s="55"/>
      <c r="B1092" s="60"/>
      <c r="C1092" s="60"/>
      <c r="D1092" s="57"/>
      <c r="E1092" s="57"/>
      <c r="F1092" s="56"/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  <c r="R1092" s="56"/>
      <c r="S1092" s="56"/>
      <c r="T1092" s="56"/>
      <c r="U1092" s="56"/>
      <c r="V1092" s="56"/>
      <c r="W1092" s="56"/>
      <c r="X1092" s="56"/>
      <c r="Y1092" s="56"/>
      <c r="Z1092" s="56"/>
      <c r="AA1092" s="56"/>
      <c r="AB1092" s="56"/>
    </row>
    <row r="1093" ht="21.0" customHeight="1">
      <c r="A1093" s="55"/>
      <c r="B1093" s="60"/>
      <c r="C1093" s="60"/>
      <c r="D1093" s="57"/>
      <c r="E1093" s="57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  <c r="X1093" s="56"/>
      <c r="Y1093" s="56"/>
      <c r="Z1093" s="56"/>
      <c r="AA1093" s="56"/>
      <c r="AB1093" s="56"/>
    </row>
    <row r="1094" ht="21.0" customHeight="1">
      <c r="A1094" s="55"/>
      <c r="B1094" s="60"/>
      <c r="C1094" s="60"/>
      <c r="D1094" s="57"/>
      <c r="E1094" s="57"/>
      <c r="F1094" s="56"/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  <c r="R1094" s="56"/>
      <c r="S1094" s="56"/>
      <c r="T1094" s="56"/>
      <c r="U1094" s="56"/>
      <c r="V1094" s="56"/>
      <c r="W1094" s="56"/>
      <c r="X1094" s="56"/>
      <c r="Y1094" s="56"/>
      <c r="Z1094" s="56"/>
      <c r="AA1094" s="56"/>
      <c r="AB1094" s="56"/>
    </row>
    <row r="1095" ht="21.0" customHeight="1">
      <c r="A1095" s="55"/>
      <c r="B1095" s="60"/>
      <c r="C1095" s="60"/>
      <c r="D1095" s="57"/>
      <c r="E1095" s="57"/>
      <c r="F1095" s="56"/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  <c r="AA1095" s="56"/>
      <c r="AB1095" s="56"/>
    </row>
    <row r="1096" ht="21.0" customHeight="1">
      <c r="A1096" s="55"/>
      <c r="B1096" s="60"/>
      <c r="C1096" s="60"/>
      <c r="D1096" s="57"/>
      <c r="E1096" s="57"/>
      <c r="F1096" s="56"/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  <c r="R1096" s="56"/>
      <c r="S1096" s="56"/>
      <c r="T1096" s="56"/>
      <c r="U1096" s="56"/>
      <c r="V1096" s="56"/>
      <c r="W1096" s="56"/>
      <c r="X1096" s="56"/>
      <c r="Y1096" s="56"/>
      <c r="Z1096" s="56"/>
      <c r="AA1096" s="56"/>
      <c r="AB1096" s="56"/>
    </row>
    <row r="1097" ht="21.0" customHeight="1">
      <c r="A1097" s="55"/>
      <c r="B1097" s="60"/>
      <c r="C1097" s="60"/>
      <c r="D1097" s="57"/>
      <c r="E1097" s="57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  <c r="X1097" s="56"/>
      <c r="Y1097" s="56"/>
      <c r="Z1097" s="56"/>
      <c r="AA1097" s="56"/>
      <c r="AB1097" s="56"/>
    </row>
    <row r="1098" ht="21.0" customHeight="1">
      <c r="A1098" s="55"/>
      <c r="B1098" s="60"/>
      <c r="C1098" s="60"/>
      <c r="D1098" s="57"/>
      <c r="E1098" s="57"/>
      <c r="F1098" s="56"/>
      <c r="G1098" s="56"/>
      <c r="H1098" s="56"/>
      <c r="I1098" s="56"/>
      <c r="J1098" s="56"/>
      <c r="K1098" s="56"/>
      <c r="L1098" s="56"/>
      <c r="M1098" s="56"/>
      <c r="N1098" s="56"/>
      <c r="O1098" s="56"/>
      <c r="P1098" s="56"/>
      <c r="Q1098" s="56"/>
      <c r="R1098" s="56"/>
      <c r="S1098" s="56"/>
      <c r="T1098" s="56"/>
      <c r="U1098" s="56"/>
      <c r="V1098" s="56"/>
      <c r="W1098" s="56"/>
      <c r="X1098" s="56"/>
      <c r="Y1098" s="56"/>
      <c r="Z1098" s="56"/>
      <c r="AA1098" s="56"/>
      <c r="AB1098" s="56"/>
    </row>
    <row r="1099" ht="21.0" customHeight="1">
      <c r="A1099" s="55"/>
      <c r="B1099" s="60"/>
      <c r="C1099" s="60"/>
      <c r="D1099" s="57"/>
      <c r="E1099" s="57"/>
      <c r="F1099" s="56"/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  <c r="X1099" s="56"/>
      <c r="Y1099" s="56"/>
      <c r="Z1099" s="56"/>
      <c r="AA1099" s="56"/>
      <c r="AB1099" s="56"/>
    </row>
    <row r="1100" ht="21.0" customHeight="1">
      <c r="A1100" s="55"/>
      <c r="B1100" s="60"/>
      <c r="C1100" s="60"/>
      <c r="D1100" s="57"/>
      <c r="E1100" s="57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</row>
    <row r="1101" ht="21.0" customHeight="1">
      <c r="A1101" s="55"/>
      <c r="B1101" s="60"/>
      <c r="C1101" s="60"/>
      <c r="D1101" s="57"/>
      <c r="E1101" s="57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  <c r="S1101" s="56"/>
      <c r="T1101" s="56"/>
      <c r="U1101" s="56"/>
      <c r="V1101" s="56"/>
      <c r="W1101" s="56"/>
      <c r="X1101" s="56"/>
      <c r="Y1101" s="56"/>
      <c r="Z1101" s="56"/>
      <c r="AA1101" s="56"/>
      <c r="AB1101" s="56"/>
    </row>
    <row r="1102" ht="21.0" customHeight="1">
      <c r="A1102" s="55"/>
      <c r="B1102" s="60"/>
      <c r="C1102" s="60"/>
      <c r="D1102" s="57"/>
      <c r="E1102" s="57"/>
      <c r="F1102" s="56"/>
      <c r="G1102" s="56"/>
      <c r="H1102" s="56"/>
      <c r="I1102" s="56"/>
      <c r="J1102" s="56"/>
      <c r="K1102" s="56"/>
      <c r="L1102" s="56"/>
      <c r="M1102" s="56"/>
      <c r="N1102" s="56"/>
      <c r="O1102" s="56"/>
      <c r="P1102" s="56"/>
      <c r="Q1102" s="56"/>
      <c r="R1102" s="56"/>
      <c r="S1102" s="56"/>
      <c r="T1102" s="56"/>
      <c r="U1102" s="56"/>
      <c r="V1102" s="56"/>
      <c r="W1102" s="56"/>
      <c r="X1102" s="56"/>
      <c r="Y1102" s="56"/>
      <c r="Z1102" s="56"/>
      <c r="AA1102" s="56"/>
      <c r="AB1102" s="56"/>
    </row>
    <row r="1103" ht="21.0" customHeight="1">
      <c r="A1103" s="55"/>
      <c r="B1103" s="60"/>
      <c r="C1103" s="60"/>
      <c r="D1103" s="57"/>
      <c r="E1103" s="57"/>
      <c r="F1103" s="56"/>
      <c r="G1103" s="56"/>
      <c r="H1103" s="56"/>
      <c r="I1103" s="56"/>
      <c r="J1103" s="56"/>
      <c r="K1103" s="56"/>
      <c r="L1103" s="56"/>
      <c r="M1103" s="56"/>
      <c r="N1103" s="56"/>
      <c r="O1103" s="56"/>
      <c r="P1103" s="56"/>
      <c r="Q1103" s="56"/>
      <c r="R1103" s="56"/>
      <c r="S1103" s="56"/>
      <c r="T1103" s="56"/>
      <c r="U1103" s="56"/>
      <c r="V1103" s="56"/>
      <c r="W1103" s="56"/>
      <c r="X1103" s="56"/>
      <c r="Y1103" s="56"/>
      <c r="Z1103" s="56"/>
      <c r="AA1103" s="56"/>
      <c r="AB1103" s="56"/>
    </row>
    <row r="1104" ht="21.0" customHeight="1">
      <c r="A1104" s="55"/>
      <c r="B1104" s="60"/>
      <c r="C1104" s="60"/>
      <c r="D1104" s="57"/>
      <c r="E1104" s="57"/>
      <c r="F1104" s="56"/>
      <c r="G1104" s="56"/>
      <c r="H1104" s="56"/>
      <c r="I1104" s="56"/>
      <c r="J1104" s="56"/>
      <c r="K1104" s="56"/>
      <c r="L1104" s="56"/>
      <c r="M1104" s="56"/>
      <c r="N1104" s="56"/>
      <c r="O1104" s="56"/>
      <c r="P1104" s="56"/>
      <c r="Q1104" s="56"/>
      <c r="R1104" s="56"/>
      <c r="S1104" s="56"/>
      <c r="T1104" s="56"/>
      <c r="U1104" s="56"/>
      <c r="V1104" s="56"/>
      <c r="W1104" s="56"/>
      <c r="X1104" s="56"/>
      <c r="Y1104" s="56"/>
      <c r="Z1104" s="56"/>
      <c r="AA1104" s="56"/>
      <c r="AB1104" s="56"/>
    </row>
    <row r="1105" ht="21.0" customHeight="1">
      <c r="A1105" s="55"/>
      <c r="B1105" s="60"/>
      <c r="C1105" s="60"/>
      <c r="D1105" s="57"/>
      <c r="E1105" s="57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  <c r="S1105" s="56"/>
      <c r="T1105" s="56"/>
      <c r="U1105" s="56"/>
      <c r="V1105" s="56"/>
      <c r="W1105" s="56"/>
      <c r="X1105" s="56"/>
      <c r="Y1105" s="56"/>
      <c r="Z1105" s="56"/>
      <c r="AA1105" s="56"/>
      <c r="AB1105" s="56"/>
    </row>
    <row r="1106" ht="21.0" customHeight="1">
      <c r="A1106" s="55"/>
      <c r="B1106" s="60"/>
      <c r="C1106" s="60"/>
      <c r="D1106" s="57"/>
      <c r="E1106" s="57"/>
      <c r="F1106" s="56"/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  <c r="R1106" s="56"/>
      <c r="S1106" s="56"/>
      <c r="T1106" s="56"/>
      <c r="U1106" s="56"/>
      <c r="V1106" s="56"/>
      <c r="W1106" s="56"/>
      <c r="X1106" s="56"/>
      <c r="Y1106" s="56"/>
      <c r="Z1106" s="56"/>
      <c r="AA1106" s="56"/>
      <c r="AB1106" s="56"/>
    </row>
    <row r="1107" ht="21.0" customHeight="1">
      <c r="A1107" s="55"/>
      <c r="B1107" s="60"/>
      <c r="C1107" s="60"/>
      <c r="D1107" s="57"/>
      <c r="E1107" s="57"/>
      <c r="F1107" s="56"/>
      <c r="G1107" s="56"/>
      <c r="H1107" s="56"/>
      <c r="I1107" s="56"/>
      <c r="J1107" s="56"/>
      <c r="K1107" s="56"/>
      <c r="L1107" s="56"/>
      <c r="M1107" s="56"/>
      <c r="N1107" s="56"/>
      <c r="O1107" s="56"/>
      <c r="P1107" s="56"/>
      <c r="Q1107" s="56"/>
      <c r="R1107" s="56"/>
      <c r="S1107" s="56"/>
      <c r="T1107" s="56"/>
      <c r="U1107" s="56"/>
      <c r="V1107" s="56"/>
      <c r="W1107" s="56"/>
      <c r="X1107" s="56"/>
      <c r="Y1107" s="56"/>
      <c r="Z1107" s="56"/>
      <c r="AA1107" s="56"/>
      <c r="AB1107" s="56"/>
    </row>
    <row r="1108" ht="21.0" customHeight="1">
      <c r="A1108" s="55"/>
      <c r="B1108" s="60"/>
      <c r="C1108" s="60"/>
      <c r="D1108" s="57"/>
      <c r="E1108" s="57"/>
      <c r="F1108" s="56"/>
      <c r="G1108" s="56"/>
      <c r="H1108" s="56"/>
      <c r="I1108" s="56"/>
      <c r="J1108" s="56"/>
      <c r="K1108" s="56"/>
      <c r="L1108" s="56"/>
      <c r="M1108" s="56"/>
      <c r="N1108" s="56"/>
      <c r="O1108" s="56"/>
      <c r="P1108" s="56"/>
      <c r="Q1108" s="56"/>
      <c r="R1108" s="56"/>
      <c r="S1108" s="56"/>
      <c r="T1108" s="56"/>
      <c r="U1108" s="56"/>
      <c r="V1108" s="56"/>
      <c r="W1108" s="56"/>
      <c r="X1108" s="56"/>
      <c r="Y1108" s="56"/>
      <c r="Z1108" s="56"/>
      <c r="AA1108" s="56"/>
      <c r="AB1108" s="56"/>
    </row>
    <row r="1109" ht="21.0" customHeight="1">
      <c r="A1109" s="55"/>
      <c r="B1109" s="60"/>
      <c r="C1109" s="60"/>
      <c r="D1109" s="57"/>
      <c r="E1109" s="57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  <c r="S1109" s="56"/>
      <c r="T1109" s="56"/>
      <c r="U1109" s="56"/>
      <c r="V1109" s="56"/>
      <c r="W1109" s="56"/>
      <c r="X1109" s="56"/>
      <c r="Y1109" s="56"/>
      <c r="Z1109" s="56"/>
      <c r="AA1109" s="56"/>
      <c r="AB1109" s="56"/>
    </row>
    <row r="1110" ht="21.0" customHeight="1">
      <c r="A1110" s="55"/>
      <c r="B1110" s="60"/>
      <c r="C1110" s="60"/>
      <c r="D1110" s="57"/>
      <c r="E1110" s="57"/>
      <c r="F1110" s="56"/>
      <c r="G1110" s="56"/>
      <c r="H1110" s="56"/>
      <c r="I1110" s="56"/>
      <c r="J1110" s="56"/>
      <c r="K1110" s="56"/>
      <c r="L1110" s="56"/>
      <c r="M1110" s="56"/>
      <c r="N1110" s="56"/>
      <c r="O1110" s="56"/>
      <c r="P1110" s="56"/>
      <c r="Q1110" s="56"/>
      <c r="R1110" s="56"/>
      <c r="S1110" s="56"/>
      <c r="T1110" s="56"/>
      <c r="U1110" s="56"/>
      <c r="V1110" s="56"/>
      <c r="W1110" s="56"/>
      <c r="X1110" s="56"/>
      <c r="Y1110" s="56"/>
      <c r="Z1110" s="56"/>
      <c r="AA1110" s="56"/>
      <c r="AB1110" s="56"/>
    </row>
    <row r="1111" ht="21.0" customHeight="1">
      <c r="A1111" s="55"/>
      <c r="B1111" s="60"/>
      <c r="C1111" s="60"/>
      <c r="D1111" s="57"/>
      <c r="E1111" s="57"/>
      <c r="F1111" s="56"/>
      <c r="G1111" s="56"/>
      <c r="H1111" s="56"/>
      <c r="I1111" s="56"/>
      <c r="J1111" s="56"/>
      <c r="K1111" s="56"/>
      <c r="L1111" s="56"/>
      <c r="M1111" s="56"/>
      <c r="N1111" s="56"/>
      <c r="O1111" s="56"/>
      <c r="P1111" s="56"/>
      <c r="Q1111" s="56"/>
      <c r="R1111" s="56"/>
      <c r="S1111" s="56"/>
      <c r="T1111" s="56"/>
      <c r="U1111" s="56"/>
      <c r="V1111" s="56"/>
      <c r="W1111" s="56"/>
      <c r="X1111" s="56"/>
      <c r="Y1111" s="56"/>
      <c r="Z1111" s="56"/>
      <c r="AA1111" s="56"/>
      <c r="AB1111" s="56"/>
    </row>
    <row r="1112" ht="21.0" customHeight="1">
      <c r="A1112" s="55"/>
      <c r="B1112" s="60"/>
      <c r="C1112" s="60"/>
      <c r="D1112" s="57"/>
      <c r="E1112" s="57"/>
      <c r="F1112" s="56"/>
      <c r="G1112" s="56"/>
      <c r="H1112" s="56"/>
      <c r="I1112" s="56"/>
      <c r="J1112" s="56"/>
      <c r="K1112" s="56"/>
      <c r="L1112" s="56"/>
      <c r="M1112" s="56"/>
      <c r="N1112" s="56"/>
      <c r="O1112" s="56"/>
      <c r="P1112" s="56"/>
      <c r="Q1112" s="56"/>
      <c r="R1112" s="56"/>
      <c r="S1112" s="56"/>
      <c r="T1112" s="56"/>
      <c r="U1112" s="56"/>
      <c r="V1112" s="56"/>
      <c r="W1112" s="56"/>
      <c r="X1112" s="56"/>
      <c r="Y1112" s="56"/>
      <c r="Z1112" s="56"/>
      <c r="AA1112" s="56"/>
      <c r="AB1112" s="56"/>
    </row>
    <row r="1113" ht="21.0" customHeight="1">
      <c r="A1113" s="55"/>
      <c r="B1113" s="60"/>
      <c r="C1113" s="60"/>
      <c r="D1113" s="57"/>
      <c r="E1113" s="57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  <c r="S1113" s="56"/>
      <c r="T1113" s="56"/>
      <c r="U1113" s="56"/>
      <c r="V1113" s="56"/>
      <c r="W1113" s="56"/>
      <c r="X1113" s="56"/>
      <c r="Y1113" s="56"/>
      <c r="Z1113" s="56"/>
      <c r="AA1113" s="56"/>
      <c r="AB1113" s="56"/>
    </row>
    <row r="1114" ht="21.0" customHeight="1">
      <c r="A1114" s="55"/>
      <c r="B1114" s="60"/>
      <c r="C1114" s="60"/>
      <c r="D1114" s="57"/>
      <c r="E1114" s="57"/>
      <c r="F1114" s="56"/>
      <c r="G1114" s="56"/>
      <c r="H1114" s="56"/>
      <c r="I1114" s="56"/>
      <c r="J1114" s="56"/>
      <c r="K1114" s="56"/>
      <c r="L1114" s="56"/>
      <c r="M1114" s="56"/>
      <c r="N1114" s="56"/>
      <c r="O1114" s="56"/>
      <c r="P1114" s="56"/>
      <c r="Q1114" s="56"/>
      <c r="R1114" s="56"/>
      <c r="S1114" s="56"/>
      <c r="T1114" s="56"/>
      <c r="U1114" s="56"/>
      <c r="V1114" s="56"/>
      <c r="W1114" s="56"/>
      <c r="X1114" s="56"/>
      <c r="Y1114" s="56"/>
      <c r="Z1114" s="56"/>
      <c r="AA1114" s="56"/>
      <c r="AB1114" s="56"/>
    </row>
    <row r="1115" ht="21.0" customHeight="1">
      <c r="A1115" s="55"/>
      <c r="B1115" s="60"/>
      <c r="C1115" s="60"/>
      <c r="D1115" s="57"/>
      <c r="E1115" s="57"/>
      <c r="F1115" s="56"/>
      <c r="G1115" s="56"/>
      <c r="H1115" s="56"/>
      <c r="I1115" s="56"/>
      <c r="J1115" s="56"/>
      <c r="K1115" s="56"/>
      <c r="L1115" s="56"/>
      <c r="M1115" s="56"/>
      <c r="N1115" s="56"/>
      <c r="O1115" s="56"/>
      <c r="P1115" s="56"/>
      <c r="Q1115" s="56"/>
      <c r="R1115" s="56"/>
      <c r="S1115" s="56"/>
      <c r="T1115" s="56"/>
      <c r="U1115" s="56"/>
      <c r="V1115" s="56"/>
      <c r="W1115" s="56"/>
      <c r="X1115" s="56"/>
      <c r="Y1115" s="56"/>
      <c r="Z1115" s="56"/>
      <c r="AA1115" s="56"/>
      <c r="AB1115" s="56"/>
    </row>
    <row r="1116" ht="21.0" customHeight="1">
      <c r="A1116" s="55"/>
      <c r="B1116" s="60"/>
      <c r="C1116" s="60"/>
      <c r="D1116" s="57"/>
      <c r="E1116" s="57"/>
      <c r="F1116" s="56"/>
      <c r="G1116" s="56"/>
      <c r="H1116" s="56"/>
      <c r="I1116" s="56"/>
      <c r="J1116" s="56"/>
      <c r="K1116" s="56"/>
      <c r="L1116" s="56"/>
      <c r="M1116" s="56"/>
      <c r="N1116" s="56"/>
      <c r="O1116" s="56"/>
      <c r="P1116" s="56"/>
      <c r="Q1116" s="56"/>
      <c r="R1116" s="56"/>
      <c r="S1116" s="56"/>
      <c r="T1116" s="56"/>
      <c r="U1116" s="56"/>
      <c r="V1116" s="56"/>
      <c r="W1116" s="56"/>
      <c r="X1116" s="56"/>
      <c r="Y1116" s="56"/>
      <c r="Z1116" s="56"/>
      <c r="AA1116" s="56"/>
      <c r="AB1116" s="56"/>
    </row>
    <row r="1117" ht="21.0" customHeight="1">
      <c r="A1117" s="55"/>
      <c r="B1117" s="60"/>
      <c r="C1117" s="60"/>
      <c r="D1117" s="57"/>
      <c r="E1117" s="57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  <c r="S1117" s="56"/>
      <c r="T1117" s="56"/>
      <c r="U1117" s="56"/>
      <c r="V1117" s="56"/>
      <c r="W1117" s="56"/>
      <c r="X1117" s="56"/>
      <c r="Y1117" s="56"/>
      <c r="Z1117" s="56"/>
      <c r="AA1117" s="56"/>
      <c r="AB1117" s="56"/>
    </row>
    <row r="1118" ht="21.0" customHeight="1">
      <c r="A1118" s="55"/>
      <c r="B1118" s="60"/>
      <c r="C1118" s="60"/>
      <c r="D1118" s="57"/>
      <c r="E1118" s="57"/>
      <c r="F1118" s="56"/>
      <c r="G1118" s="56"/>
      <c r="H1118" s="56"/>
      <c r="I1118" s="56"/>
      <c r="J1118" s="56"/>
      <c r="K1118" s="56"/>
      <c r="L1118" s="56"/>
      <c r="M1118" s="56"/>
      <c r="N1118" s="56"/>
      <c r="O1118" s="56"/>
      <c r="P1118" s="56"/>
      <c r="Q1118" s="56"/>
      <c r="R1118" s="56"/>
      <c r="S1118" s="56"/>
      <c r="T1118" s="56"/>
      <c r="U1118" s="56"/>
      <c r="V1118" s="56"/>
      <c r="W1118" s="56"/>
      <c r="X1118" s="56"/>
      <c r="Y1118" s="56"/>
      <c r="Z1118" s="56"/>
      <c r="AA1118" s="56"/>
      <c r="AB1118" s="56"/>
    </row>
    <row r="1119" ht="21.0" customHeight="1">
      <c r="A1119" s="55"/>
      <c r="B1119" s="60"/>
      <c r="C1119" s="60"/>
      <c r="D1119" s="57"/>
      <c r="E1119" s="57"/>
      <c r="F1119" s="56"/>
      <c r="G1119" s="56"/>
      <c r="H1119" s="56"/>
      <c r="I1119" s="56"/>
      <c r="J1119" s="56"/>
      <c r="K1119" s="56"/>
      <c r="L1119" s="56"/>
      <c r="M1119" s="56"/>
      <c r="N1119" s="56"/>
      <c r="O1119" s="56"/>
      <c r="P1119" s="56"/>
      <c r="Q1119" s="56"/>
      <c r="R1119" s="56"/>
      <c r="S1119" s="56"/>
      <c r="T1119" s="56"/>
      <c r="U1119" s="56"/>
      <c r="V1119" s="56"/>
      <c r="W1119" s="56"/>
      <c r="X1119" s="56"/>
      <c r="Y1119" s="56"/>
      <c r="Z1119" s="56"/>
      <c r="AA1119" s="56"/>
      <c r="AB1119" s="56"/>
    </row>
    <row r="1120" ht="21.0" customHeight="1">
      <c r="A1120" s="55"/>
      <c r="B1120" s="60"/>
      <c r="C1120" s="60"/>
      <c r="D1120" s="57"/>
      <c r="E1120" s="57"/>
      <c r="F1120" s="56"/>
      <c r="G1120" s="56"/>
      <c r="H1120" s="56"/>
      <c r="I1120" s="56"/>
      <c r="J1120" s="56"/>
      <c r="K1120" s="56"/>
      <c r="L1120" s="56"/>
      <c r="M1120" s="56"/>
      <c r="N1120" s="56"/>
      <c r="O1120" s="56"/>
      <c r="P1120" s="56"/>
      <c r="Q1120" s="56"/>
      <c r="R1120" s="56"/>
      <c r="S1120" s="56"/>
      <c r="T1120" s="56"/>
      <c r="U1120" s="56"/>
      <c r="V1120" s="56"/>
      <c r="W1120" s="56"/>
      <c r="X1120" s="56"/>
      <c r="Y1120" s="56"/>
      <c r="Z1120" s="56"/>
      <c r="AA1120" s="56"/>
      <c r="AB1120" s="56"/>
    </row>
    <row r="1121" ht="21.0" customHeight="1">
      <c r="A1121" s="55"/>
      <c r="B1121" s="60"/>
      <c r="C1121" s="60"/>
      <c r="D1121" s="57"/>
      <c r="E1121" s="57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  <c r="S1121" s="56"/>
      <c r="T1121" s="56"/>
      <c r="U1121" s="56"/>
      <c r="V1121" s="56"/>
      <c r="W1121" s="56"/>
      <c r="X1121" s="56"/>
      <c r="Y1121" s="56"/>
      <c r="Z1121" s="56"/>
      <c r="AA1121" s="56"/>
      <c r="AB1121" s="56"/>
    </row>
    <row r="1122" ht="21.0" customHeight="1">
      <c r="A1122" s="55"/>
      <c r="B1122" s="60"/>
      <c r="C1122" s="60"/>
      <c r="D1122" s="57"/>
      <c r="E1122" s="57"/>
      <c r="F1122" s="56"/>
      <c r="G1122" s="56"/>
      <c r="H1122" s="56"/>
      <c r="I1122" s="56"/>
      <c r="J1122" s="56"/>
      <c r="K1122" s="56"/>
      <c r="L1122" s="56"/>
      <c r="M1122" s="56"/>
      <c r="N1122" s="56"/>
      <c r="O1122" s="56"/>
      <c r="P1122" s="56"/>
      <c r="Q1122" s="56"/>
      <c r="R1122" s="56"/>
      <c r="S1122" s="56"/>
      <c r="T1122" s="56"/>
      <c r="U1122" s="56"/>
      <c r="V1122" s="56"/>
      <c r="W1122" s="56"/>
      <c r="X1122" s="56"/>
      <c r="Y1122" s="56"/>
      <c r="Z1122" s="56"/>
      <c r="AA1122" s="56"/>
      <c r="AB1122" s="56"/>
    </row>
    <row r="1123" ht="21.0" customHeight="1">
      <c r="A1123" s="55"/>
      <c r="B1123" s="60"/>
      <c r="C1123" s="60"/>
      <c r="D1123" s="57"/>
      <c r="E1123" s="57"/>
      <c r="F1123" s="56"/>
      <c r="G1123" s="56"/>
      <c r="H1123" s="56"/>
      <c r="I1123" s="56"/>
      <c r="J1123" s="56"/>
      <c r="K1123" s="56"/>
      <c r="L1123" s="56"/>
      <c r="M1123" s="56"/>
      <c r="N1123" s="56"/>
      <c r="O1123" s="56"/>
      <c r="P1123" s="56"/>
      <c r="Q1123" s="56"/>
      <c r="R1123" s="56"/>
      <c r="S1123" s="56"/>
      <c r="T1123" s="56"/>
      <c r="U1123" s="56"/>
      <c r="V1123" s="56"/>
      <c r="W1123" s="56"/>
      <c r="X1123" s="56"/>
      <c r="Y1123" s="56"/>
      <c r="Z1123" s="56"/>
      <c r="AA1123" s="56"/>
      <c r="AB1123" s="56"/>
    </row>
    <row r="1124" ht="21.0" customHeight="1">
      <c r="A1124" s="55"/>
      <c r="B1124" s="60"/>
      <c r="C1124" s="60"/>
      <c r="D1124" s="57"/>
      <c r="E1124" s="57"/>
      <c r="F1124" s="56"/>
      <c r="G1124" s="56"/>
      <c r="H1124" s="56"/>
      <c r="I1124" s="56"/>
      <c r="J1124" s="56"/>
      <c r="K1124" s="56"/>
      <c r="L1124" s="56"/>
      <c r="M1124" s="56"/>
      <c r="N1124" s="56"/>
      <c r="O1124" s="56"/>
      <c r="P1124" s="56"/>
      <c r="Q1124" s="56"/>
      <c r="R1124" s="56"/>
      <c r="S1124" s="56"/>
      <c r="T1124" s="56"/>
      <c r="U1124" s="56"/>
      <c r="V1124" s="56"/>
      <c r="W1124" s="56"/>
      <c r="X1124" s="56"/>
      <c r="Y1124" s="56"/>
      <c r="Z1124" s="56"/>
      <c r="AA1124" s="56"/>
      <c r="AB1124" s="56"/>
    </row>
    <row r="1125" ht="21.0" customHeight="1">
      <c r="A1125" s="55"/>
      <c r="B1125" s="60"/>
      <c r="C1125" s="60"/>
      <c r="D1125" s="57"/>
      <c r="E1125" s="57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  <c r="S1125" s="56"/>
      <c r="T1125" s="56"/>
      <c r="U1125" s="56"/>
      <c r="V1125" s="56"/>
      <c r="W1125" s="56"/>
      <c r="X1125" s="56"/>
      <c r="Y1125" s="56"/>
      <c r="Z1125" s="56"/>
      <c r="AA1125" s="56"/>
      <c r="AB1125" s="56"/>
    </row>
    <row r="1126" ht="21.0" customHeight="1">
      <c r="A1126" s="55"/>
      <c r="B1126" s="60"/>
      <c r="C1126" s="60"/>
      <c r="D1126" s="57"/>
      <c r="E1126" s="57"/>
      <c r="F1126" s="56"/>
      <c r="G1126" s="56"/>
      <c r="H1126" s="56"/>
      <c r="I1126" s="56"/>
      <c r="J1126" s="56"/>
      <c r="K1126" s="56"/>
      <c r="L1126" s="56"/>
      <c r="M1126" s="56"/>
      <c r="N1126" s="56"/>
      <c r="O1126" s="56"/>
      <c r="P1126" s="56"/>
      <c r="Q1126" s="56"/>
      <c r="R1126" s="56"/>
      <c r="S1126" s="56"/>
      <c r="T1126" s="56"/>
      <c r="U1126" s="56"/>
      <c r="V1126" s="56"/>
      <c r="W1126" s="56"/>
      <c r="X1126" s="56"/>
      <c r="Y1126" s="56"/>
      <c r="Z1126" s="56"/>
      <c r="AA1126" s="56"/>
      <c r="AB1126" s="56"/>
    </row>
    <row r="1127" ht="21.0" customHeight="1">
      <c r="A1127" s="55"/>
      <c r="B1127" s="60"/>
      <c r="C1127" s="60"/>
      <c r="D1127" s="57"/>
      <c r="E1127" s="57"/>
      <c r="F1127" s="56"/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  <c r="AA1127" s="56"/>
      <c r="AB1127" s="56"/>
    </row>
    <row r="1128" ht="21.0" customHeight="1">
      <c r="A1128" s="55"/>
      <c r="B1128" s="60"/>
      <c r="C1128" s="60"/>
      <c r="D1128" s="57"/>
      <c r="E1128" s="57"/>
      <c r="F1128" s="56"/>
      <c r="G1128" s="56"/>
      <c r="H1128" s="56"/>
      <c r="I1128" s="56"/>
      <c r="J1128" s="56"/>
      <c r="K1128" s="56"/>
      <c r="L1128" s="56"/>
      <c r="M1128" s="56"/>
      <c r="N1128" s="56"/>
      <c r="O1128" s="56"/>
      <c r="P1128" s="56"/>
      <c r="Q1128" s="56"/>
      <c r="R1128" s="56"/>
      <c r="S1128" s="56"/>
      <c r="T1128" s="56"/>
      <c r="U1128" s="56"/>
      <c r="V1128" s="56"/>
      <c r="W1128" s="56"/>
      <c r="X1128" s="56"/>
      <c r="Y1128" s="56"/>
      <c r="Z1128" s="56"/>
      <c r="AA1128" s="56"/>
      <c r="AB1128" s="56"/>
    </row>
    <row r="1129" ht="21.0" customHeight="1">
      <c r="A1129" s="55"/>
      <c r="B1129" s="60"/>
      <c r="C1129" s="60"/>
      <c r="D1129" s="57"/>
      <c r="E1129" s="57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  <c r="S1129" s="56"/>
      <c r="T1129" s="56"/>
      <c r="U1129" s="56"/>
      <c r="V1129" s="56"/>
      <c r="W1129" s="56"/>
      <c r="X1129" s="56"/>
      <c r="Y1129" s="56"/>
      <c r="Z1129" s="56"/>
      <c r="AA1129" s="56"/>
      <c r="AB1129" s="56"/>
    </row>
    <row r="1130" ht="21.0" customHeight="1">
      <c r="A1130" s="55"/>
      <c r="B1130" s="60"/>
      <c r="C1130" s="60"/>
      <c r="D1130" s="57"/>
      <c r="E1130" s="57"/>
      <c r="F1130" s="56"/>
      <c r="G1130" s="56"/>
      <c r="H1130" s="56"/>
      <c r="I1130" s="56"/>
      <c r="J1130" s="56"/>
      <c r="K1130" s="56"/>
      <c r="L1130" s="56"/>
      <c r="M1130" s="56"/>
      <c r="N1130" s="56"/>
      <c r="O1130" s="56"/>
      <c r="P1130" s="56"/>
      <c r="Q1130" s="56"/>
      <c r="R1130" s="56"/>
      <c r="S1130" s="56"/>
      <c r="T1130" s="56"/>
      <c r="U1130" s="56"/>
      <c r="V1130" s="56"/>
      <c r="W1130" s="56"/>
      <c r="X1130" s="56"/>
      <c r="Y1130" s="56"/>
      <c r="Z1130" s="56"/>
      <c r="AA1130" s="56"/>
      <c r="AB1130" s="56"/>
    </row>
    <row r="1131" ht="21.0" customHeight="1">
      <c r="A1131" s="55"/>
      <c r="B1131" s="60"/>
      <c r="C1131" s="60"/>
      <c r="D1131" s="57"/>
      <c r="E1131" s="57"/>
      <c r="F1131" s="56"/>
      <c r="G1131" s="56"/>
      <c r="H1131" s="56"/>
      <c r="I1131" s="56"/>
      <c r="J1131" s="56"/>
      <c r="K1131" s="56"/>
      <c r="L1131" s="56"/>
      <c r="M1131" s="56"/>
      <c r="N1131" s="56"/>
      <c r="O1131" s="56"/>
      <c r="P1131" s="56"/>
      <c r="Q1131" s="56"/>
      <c r="R1131" s="56"/>
      <c r="S1131" s="56"/>
      <c r="T1131" s="56"/>
      <c r="U1131" s="56"/>
      <c r="V1131" s="56"/>
      <c r="W1131" s="56"/>
      <c r="X1131" s="56"/>
      <c r="Y1131" s="56"/>
      <c r="Z1131" s="56"/>
      <c r="AA1131" s="56"/>
      <c r="AB1131" s="56"/>
    </row>
    <row r="1132" ht="21.0" customHeight="1">
      <c r="A1132" s="55"/>
      <c r="B1132" s="60"/>
      <c r="C1132" s="60"/>
      <c r="D1132" s="57"/>
      <c r="E1132" s="57"/>
      <c r="F1132" s="56"/>
      <c r="G1132" s="56"/>
      <c r="H1132" s="56"/>
      <c r="I1132" s="56"/>
      <c r="J1132" s="56"/>
      <c r="K1132" s="56"/>
      <c r="L1132" s="56"/>
      <c r="M1132" s="56"/>
      <c r="N1132" s="56"/>
      <c r="O1132" s="56"/>
      <c r="P1132" s="56"/>
      <c r="Q1132" s="56"/>
      <c r="R1132" s="56"/>
      <c r="S1132" s="56"/>
      <c r="T1132" s="56"/>
      <c r="U1132" s="56"/>
      <c r="V1132" s="56"/>
      <c r="W1132" s="56"/>
      <c r="X1132" s="56"/>
      <c r="Y1132" s="56"/>
      <c r="Z1132" s="56"/>
      <c r="AA1132" s="56"/>
      <c r="AB1132" s="56"/>
    </row>
    <row r="1133" ht="21.0" customHeight="1">
      <c r="A1133" s="55"/>
      <c r="B1133" s="60"/>
      <c r="C1133" s="60"/>
      <c r="D1133" s="57"/>
      <c r="E1133" s="57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  <c r="S1133" s="56"/>
      <c r="T1133" s="56"/>
      <c r="U1133" s="56"/>
      <c r="V1133" s="56"/>
      <c r="W1133" s="56"/>
      <c r="X1133" s="56"/>
      <c r="Y1133" s="56"/>
      <c r="Z1133" s="56"/>
      <c r="AA1133" s="56"/>
      <c r="AB1133" s="56"/>
    </row>
    <row r="1134" ht="21.0" customHeight="1">
      <c r="A1134" s="55"/>
      <c r="B1134" s="60"/>
      <c r="C1134" s="60"/>
      <c r="D1134" s="57"/>
      <c r="E1134" s="57"/>
      <c r="F1134" s="56"/>
      <c r="G1134" s="56"/>
      <c r="H1134" s="56"/>
      <c r="I1134" s="56"/>
      <c r="J1134" s="56"/>
      <c r="K1134" s="56"/>
      <c r="L1134" s="56"/>
      <c r="M1134" s="56"/>
      <c r="N1134" s="56"/>
      <c r="O1134" s="56"/>
      <c r="P1134" s="56"/>
      <c r="Q1134" s="56"/>
      <c r="R1134" s="56"/>
      <c r="S1134" s="56"/>
      <c r="T1134" s="56"/>
      <c r="U1134" s="56"/>
      <c r="V1134" s="56"/>
      <c r="W1134" s="56"/>
      <c r="X1134" s="56"/>
      <c r="Y1134" s="56"/>
      <c r="Z1134" s="56"/>
      <c r="AA1134" s="56"/>
      <c r="AB1134" s="56"/>
    </row>
    <row r="1135" ht="21.0" customHeight="1">
      <c r="A1135" s="55"/>
      <c r="B1135" s="60"/>
      <c r="C1135" s="60"/>
      <c r="D1135" s="57"/>
      <c r="E1135" s="57"/>
      <c r="F1135" s="56"/>
      <c r="G1135" s="56"/>
      <c r="H1135" s="56"/>
      <c r="I1135" s="56"/>
      <c r="J1135" s="56"/>
      <c r="K1135" s="56"/>
      <c r="L1135" s="56"/>
      <c r="M1135" s="56"/>
      <c r="N1135" s="56"/>
      <c r="O1135" s="56"/>
      <c r="P1135" s="56"/>
      <c r="Q1135" s="56"/>
      <c r="R1135" s="56"/>
      <c r="S1135" s="56"/>
      <c r="T1135" s="56"/>
      <c r="U1135" s="56"/>
      <c r="V1135" s="56"/>
      <c r="W1135" s="56"/>
      <c r="X1135" s="56"/>
      <c r="Y1135" s="56"/>
      <c r="Z1135" s="56"/>
      <c r="AA1135" s="56"/>
      <c r="AB1135" s="56"/>
    </row>
    <row r="1136" ht="21.0" customHeight="1">
      <c r="A1136" s="55"/>
      <c r="B1136" s="60"/>
      <c r="C1136" s="60"/>
      <c r="D1136" s="57"/>
      <c r="E1136" s="57"/>
      <c r="F1136" s="56"/>
      <c r="G1136" s="56"/>
      <c r="H1136" s="56"/>
      <c r="I1136" s="56"/>
      <c r="J1136" s="56"/>
      <c r="K1136" s="56"/>
      <c r="L1136" s="56"/>
      <c r="M1136" s="56"/>
      <c r="N1136" s="56"/>
      <c r="O1136" s="56"/>
      <c r="P1136" s="56"/>
      <c r="Q1136" s="56"/>
      <c r="R1136" s="56"/>
      <c r="S1136" s="56"/>
      <c r="T1136" s="56"/>
      <c r="U1136" s="56"/>
      <c r="V1136" s="56"/>
      <c r="W1136" s="56"/>
      <c r="X1136" s="56"/>
      <c r="Y1136" s="56"/>
      <c r="Z1136" s="56"/>
      <c r="AA1136" s="56"/>
      <c r="AB1136" s="56"/>
    </row>
    <row r="1137" ht="21.0" customHeight="1">
      <c r="A1137" s="55"/>
      <c r="B1137" s="60"/>
      <c r="C1137" s="60"/>
      <c r="D1137" s="57"/>
      <c r="E1137" s="57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  <c r="S1137" s="56"/>
      <c r="T1137" s="56"/>
      <c r="U1137" s="56"/>
      <c r="V1137" s="56"/>
      <c r="W1137" s="56"/>
      <c r="X1137" s="56"/>
      <c r="Y1137" s="56"/>
      <c r="Z1137" s="56"/>
      <c r="AA1137" s="56"/>
      <c r="AB1137" s="56"/>
    </row>
    <row r="1138" ht="21.0" customHeight="1">
      <c r="A1138" s="55"/>
      <c r="B1138" s="60"/>
      <c r="C1138" s="60"/>
      <c r="D1138" s="57"/>
      <c r="E1138" s="57"/>
      <c r="F1138" s="56"/>
      <c r="G1138" s="56"/>
      <c r="H1138" s="56"/>
      <c r="I1138" s="56"/>
      <c r="J1138" s="56"/>
      <c r="K1138" s="56"/>
      <c r="L1138" s="56"/>
      <c r="M1138" s="56"/>
      <c r="N1138" s="56"/>
      <c r="O1138" s="56"/>
      <c r="P1138" s="56"/>
      <c r="Q1138" s="56"/>
      <c r="R1138" s="56"/>
      <c r="S1138" s="56"/>
      <c r="T1138" s="56"/>
      <c r="U1138" s="56"/>
      <c r="V1138" s="56"/>
      <c r="W1138" s="56"/>
      <c r="X1138" s="56"/>
      <c r="Y1138" s="56"/>
      <c r="Z1138" s="56"/>
      <c r="AA1138" s="56"/>
      <c r="AB1138" s="56"/>
    </row>
    <row r="1139" ht="21.0" customHeight="1">
      <c r="A1139" s="55"/>
      <c r="B1139" s="60"/>
      <c r="C1139" s="60"/>
      <c r="D1139" s="57"/>
      <c r="E1139" s="57"/>
      <c r="F1139" s="56"/>
      <c r="G1139" s="56"/>
      <c r="H1139" s="56"/>
      <c r="I1139" s="56"/>
      <c r="J1139" s="56"/>
      <c r="K1139" s="56"/>
      <c r="L1139" s="56"/>
      <c r="M1139" s="56"/>
      <c r="N1139" s="56"/>
      <c r="O1139" s="56"/>
      <c r="P1139" s="56"/>
      <c r="Q1139" s="56"/>
      <c r="R1139" s="56"/>
      <c r="S1139" s="56"/>
      <c r="T1139" s="56"/>
      <c r="U1139" s="56"/>
      <c r="V1139" s="56"/>
      <c r="W1139" s="56"/>
      <c r="X1139" s="56"/>
      <c r="Y1139" s="56"/>
      <c r="Z1139" s="56"/>
      <c r="AA1139" s="56"/>
      <c r="AB1139" s="56"/>
    </row>
    <row r="1140" ht="21.0" customHeight="1">
      <c r="A1140" s="55"/>
      <c r="B1140" s="60"/>
      <c r="C1140" s="60"/>
      <c r="D1140" s="57"/>
      <c r="E1140" s="57"/>
      <c r="F1140" s="56"/>
      <c r="G1140" s="56"/>
      <c r="H1140" s="56"/>
      <c r="I1140" s="56"/>
      <c r="J1140" s="56"/>
      <c r="K1140" s="56"/>
      <c r="L1140" s="56"/>
      <c r="M1140" s="56"/>
      <c r="N1140" s="56"/>
      <c r="O1140" s="56"/>
      <c r="P1140" s="56"/>
      <c r="Q1140" s="56"/>
      <c r="R1140" s="56"/>
      <c r="S1140" s="56"/>
      <c r="T1140" s="56"/>
      <c r="U1140" s="56"/>
      <c r="V1140" s="56"/>
      <c r="W1140" s="56"/>
      <c r="X1140" s="56"/>
      <c r="Y1140" s="56"/>
      <c r="Z1140" s="56"/>
      <c r="AA1140" s="56"/>
      <c r="AB1140" s="56"/>
    </row>
    <row r="1141" ht="21.0" customHeight="1">
      <c r="A1141" s="55"/>
      <c r="B1141" s="60"/>
      <c r="C1141" s="60"/>
      <c r="D1141" s="57"/>
      <c r="E1141" s="57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  <c r="S1141" s="56"/>
      <c r="T1141" s="56"/>
      <c r="U1141" s="56"/>
      <c r="V1141" s="56"/>
      <c r="W1141" s="56"/>
      <c r="X1141" s="56"/>
      <c r="Y1141" s="56"/>
      <c r="Z1141" s="56"/>
      <c r="AA1141" s="56"/>
      <c r="AB1141" s="56"/>
    </row>
    <row r="1142" ht="21.0" customHeight="1">
      <c r="A1142" s="55"/>
      <c r="B1142" s="60"/>
      <c r="C1142" s="60"/>
      <c r="D1142" s="57"/>
      <c r="E1142" s="57"/>
      <c r="F1142" s="56"/>
      <c r="G1142" s="56"/>
      <c r="H1142" s="56"/>
      <c r="I1142" s="56"/>
      <c r="J1142" s="56"/>
      <c r="K1142" s="56"/>
      <c r="L1142" s="56"/>
      <c r="M1142" s="56"/>
      <c r="N1142" s="56"/>
      <c r="O1142" s="56"/>
      <c r="P1142" s="56"/>
      <c r="Q1142" s="56"/>
      <c r="R1142" s="56"/>
      <c r="S1142" s="56"/>
      <c r="T1142" s="56"/>
      <c r="U1142" s="56"/>
      <c r="V1142" s="56"/>
      <c r="W1142" s="56"/>
      <c r="X1142" s="56"/>
      <c r="Y1142" s="56"/>
      <c r="Z1142" s="56"/>
      <c r="AA1142" s="56"/>
      <c r="AB1142" s="56"/>
    </row>
    <row r="1143" ht="21.0" customHeight="1">
      <c r="A1143" s="55"/>
      <c r="B1143" s="60"/>
      <c r="C1143" s="60"/>
      <c r="D1143" s="57"/>
      <c r="E1143" s="57"/>
      <c r="F1143" s="56"/>
      <c r="G1143" s="56"/>
      <c r="H1143" s="56"/>
      <c r="I1143" s="56"/>
      <c r="J1143" s="56"/>
      <c r="K1143" s="56"/>
      <c r="L1143" s="56"/>
      <c r="M1143" s="56"/>
      <c r="N1143" s="56"/>
      <c r="O1143" s="56"/>
      <c r="P1143" s="56"/>
      <c r="Q1143" s="56"/>
      <c r="R1143" s="56"/>
      <c r="S1143" s="56"/>
      <c r="T1143" s="56"/>
      <c r="U1143" s="56"/>
      <c r="V1143" s="56"/>
      <c r="W1143" s="56"/>
      <c r="X1143" s="56"/>
      <c r="Y1143" s="56"/>
      <c r="Z1143" s="56"/>
      <c r="AA1143" s="56"/>
      <c r="AB1143" s="56"/>
    </row>
    <row r="1144" ht="21.0" customHeight="1">
      <c r="A1144" s="55"/>
      <c r="B1144" s="60"/>
      <c r="C1144" s="60"/>
      <c r="D1144" s="57"/>
      <c r="E1144" s="57"/>
      <c r="F1144" s="56"/>
      <c r="G1144" s="56"/>
      <c r="H1144" s="56"/>
      <c r="I1144" s="56"/>
      <c r="J1144" s="56"/>
      <c r="K1144" s="56"/>
      <c r="L1144" s="56"/>
      <c r="M1144" s="56"/>
      <c r="N1144" s="56"/>
      <c r="O1144" s="56"/>
      <c r="P1144" s="56"/>
      <c r="Q1144" s="56"/>
      <c r="R1144" s="56"/>
      <c r="S1144" s="56"/>
      <c r="T1144" s="56"/>
      <c r="U1144" s="56"/>
      <c r="V1144" s="56"/>
      <c r="W1144" s="56"/>
      <c r="X1144" s="56"/>
      <c r="Y1144" s="56"/>
      <c r="Z1144" s="56"/>
      <c r="AA1144" s="56"/>
      <c r="AB1144" s="56"/>
    </row>
    <row r="1145" ht="21.0" customHeight="1">
      <c r="A1145" s="55"/>
      <c r="B1145" s="60"/>
      <c r="C1145" s="60"/>
      <c r="D1145" s="57"/>
      <c r="E1145" s="57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  <c r="S1145" s="56"/>
      <c r="T1145" s="56"/>
      <c r="U1145" s="56"/>
      <c r="V1145" s="56"/>
      <c r="W1145" s="56"/>
      <c r="X1145" s="56"/>
      <c r="Y1145" s="56"/>
      <c r="Z1145" s="56"/>
      <c r="AA1145" s="56"/>
      <c r="AB1145" s="56"/>
    </row>
    <row r="1146" ht="21.0" customHeight="1">
      <c r="A1146" s="55"/>
      <c r="B1146" s="60"/>
      <c r="C1146" s="60"/>
      <c r="D1146" s="57"/>
      <c r="E1146" s="57"/>
      <c r="F1146" s="56"/>
      <c r="G1146" s="56"/>
      <c r="H1146" s="56"/>
      <c r="I1146" s="56"/>
      <c r="J1146" s="56"/>
      <c r="K1146" s="56"/>
      <c r="L1146" s="56"/>
      <c r="M1146" s="56"/>
      <c r="N1146" s="56"/>
      <c r="O1146" s="56"/>
      <c r="P1146" s="56"/>
      <c r="Q1146" s="56"/>
      <c r="R1146" s="56"/>
      <c r="S1146" s="56"/>
      <c r="T1146" s="56"/>
      <c r="U1146" s="56"/>
      <c r="V1146" s="56"/>
      <c r="W1146" s="56"/>
      <c r="X1146" s="56"/>
      <c r="Y1146" s="56"/>
      <c r="Z1146" s="56"/>
      <c r="AA1146" s="56"/>
      <c r="AB1146" s="56"/>
    </row>
    <row r="1147" ht="21.0" customHeight="1">
      <c r="A1147" s="55"/>
      <c r="B1147" s="60"/>
      <c r="C1147" s="60"/>
      <c r="D1147" s="57"/>
      <c r="E1147" s="57"/>
      <c r="F1147" s="56"/>
      <c r="G1147" s="56"/>
      <c r="H1147" s="56"/>
      <c r="I1147" s="56"/>
      <c r="J1147" s="56"/>
      <c r="K1147" s="56"/>
      <c r="L1147" s="56"/>
      <c r="M1147" s="56"/>
      <c r="N1147" s="56"/>
      <c r="O1147" s="56"/>
      <c r="P1147" s="56"/>
      <c r="Q1147" s="56"/>
      <c r="R1147" s="56"/>
      <c r="S1147" s="56"/>
      <c r="T1147" s="56"/>
      <c r="U1147" s="56"/>
      <c r="V1147" s="56"/>
      <c r="W1147" s="56"/>
      <c r="X1147" s="56"/>
      <c r="Y1147" s="56"/>
      <c r="Z1147" s="56"/>
      <c r="AA1147" s="56"/>
      <c r="AB1147" s="56"/>
    </row>
    <row r="1148" ht="21.0" customHeight="1">
      <c r="A1148" s="55"/>
      <c r="B1148" s="60"/>
      <c r="C1148" s="60"/>
      <c r="D1148" s="57"/>
      <c r="E1148" s="57"/>
      <c r="F1148" s="56"/>
      <c r="G1148" s="56"/>
      <c r="H1148" s="56"/>
      <c r="I1148" s="56"/>
      <c r="J1148" s="56"/>
      <c r="K1148" s="56"/>
      <c r="L1148" s="56"/>
      <c r="M1148" s="56"/>
      <c r="N1148" s="56"/>
      <c r="O1148" s="56"/>
      <c r="P1148" s="56"/>
      <c r="Q1148" s="56"/>
      <c r="R1148" s="56"/>
      <c r="S1148" s="56"/>
      <c r="T1148" s="56"/>
      <c r="U1148" s="56"/>
      <c r="V1148" s="56"/>
      <c r="W1148" s="56"/>
      <c r="X1148" s="56"/>
      <c r="Y1148" s="56"/>
      <c r="Z1148" s="56"/>
      <c r="AA1148" s="56"/>
      <c r="AB1148" s="56"/>
    </row>
    <row r="1149" ht="21.0" customHeight="1">
      <c r="A1149" s="55"/>
      <c r="B1149" s="60"/>
      <c r="C1149" s="60"/>
      <c r="D1149" s="57"/>
      <c r="E1149" s="57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  <c r="S1149" s="56"/>
      <c r="T1149" s="56"/>
      <c r="U1149" s="56"/>
      <c r="V1149" s="56"/>
      <c r="W1149" s="56"/>
      <c r="X1149" s="56"/>
      <c r="Y1149" s="56"/>
      <c r="Z1149" s="56"/>
      <c r="AA1149" s="56"/>
      <c r="AB1149" s="56"/>
    </row>
    <row r="1150" ht="21.0" customHeight="1">
      <c r="A1150" s="55"/>
      <c r="B1150" s="60"/>
      <c r="C1150" s="60"/>
      <c r="D1150" s="57"/>
      <c r="E1150" s="57"/>
      <c r="F1150" s="56"/>
      <c r="G1150" s="56"/>
      <c r="H1150" s="56"/>
      <c r="I1150" s="56"/>
      <c r="J1150" s="56"/>
      <c r="K1150" s="56"/>
      <c r="L1150" s="56"/>
      <c r="M1150" s="56"/>
      <c r="N1150" s="56"/>
      <c r="O1150" s="56"/>
      <c r="P1150" s="56"/>
      <c r="Q1150" s="56"/>
      <c r="R1150" s="56"/>
      <c r="S1150" s="56"/>
      <c r="T1150" s="56"/>
      <c r="U1150" s="56"/>
      <c r="V1150" s="56"/>
      <c r="W1150" s="56"/>
      <c r="X1150" s="56"/>
      <c r="Y1150" s="56"/>
      <c r="Z1150" s="56"/>
      <c r="AA1150" s="56"/>
      <c r="AB1150" s="56"/>
    </row>
    <row r="1151" ht="21.0" customHeight="1">
      <c r="A1151" s="55"/>
      <c r="B1151" s="60"/>
      <c r="C1151" s="60"/>
      <c r="D1151" s="57"/>
      <c r="E1151" s="57"/>
      <c r="F1151" s="56"/>
      <c r="G1151" s="56"/>
      <c r="H1151" s="56"/>
      <c r="I1151" s="56"/>
      <c r="J1151" s="56"/>
      <c r="K1151" s="56"/>
      <c r="L1151" s="56"/>
      <c r="M1151" s="56"/>
      <c r="N1151" s="56"/>
      <c r="O1151" s="56"/>
      <c r="P1151" s="56"/>
      <c r="Q1151" s="56"/>
      <c r="R1151" s="56"/>
      <c r="S1151" s="56"/>
      <c r="T1151" s="56"/>
      <c r="U1151" s="56"/>
      <c r="V1151" s="56"/>
      <c r="W1151" s="56"/>
      <c r="X1151" s="56"/>
      <c r="Y1151" s="56"/>
      <c r="Z1151" s="56"/>
      <c r="AA1151" s="56"/>
      <c r="AB1151" s="56"/>
    </row>
    <row r="1152" ht="21.0" customHeight="1">
      <c r="A1152" s="55"/>
      <c r="B1152" s="60"/>
      <c r="C1152" s="60"/>
      <c r="D1152" s="57"/>
      <c r="E1152" s="57"/>
      <c r="F1152" s="56"/>
      <c r="G1152" s="56"/>
      <c r="H1152" s="56"/>
      <c r="I1152" s="56"/>
      <c r="J1152" s="56"/>
      <c r="K1152" s="56"/>
      <c r="L1152" s="56"/>
      <c r="M1152" s="56"/>
      <c r="N1152" s="56"/>
      <c r="O1152" s="56"/>
      <c r="P1152" s="56"/>
      <c r="Q1152" s="56"/>
      <c r="R1152" s="56"/>
      <c r="S1152" s="56"/>
      <c r="T1152" s="56"/>
      <c r="U1152" s="56"/>
      <c r="V1152" s="56"/>
      <c r="W1152" s="56"/>
      <c r="X1152" s="56"/>
      <c r="Y1152" s="56"/>
      <c r="Z1152" s="56"/>
      <c r="AA1152" s="56"/>
      <c r="AB1152" s="56"/>
    </row>
    <row r="1153" ht="21.0" customHeight="1">
      <c r="A1153" s="55"/>
      <c r="B1153" s="60"/>
      <c r="C1153" s="60"/>
      <c r="D1153" s="57"/>
      <c r="E1153" s="57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  <c r="S1153" s="56"/>
      <c r="T1153" s="56"/>
      <c r="U1153" s="56"/>
      <c r="V1153" s="56"/>
      <c r="W1153" s="56"/>
      <c r="X1153" s="56"/>
      <c r="Y1153" s="56"/>
      <c r="Z1153" s="56"/>
      <c r="AA1153" s="56"/>
      <c r="AB1153" s="56"/>
    </row>
    <row r="1154" ht="21.0" customHeight="1">
      <c r="A1154" s="55"/>
      <c r="B1154" s="60"/>
      <c r="C1154" s="60"/>
      <c r="D1154" s="57"/>
      <c r="E1154" s="57"/>
      <c r="F1154" s="56"/>
      <c r="G1154" s="56"/>
      <c r="H1154" s="56"/>
      <c r="I1154" s="56"/>
      <c r="J1154" s="56"/>
      <c r="K1154" s="56"/>
      <c r="L1154" s="56"/>
      <c r="M1154" s="56"/>
      <c r="N1154" s="56"/>
      <c r="O1154" s="56"/>
      <c r="P1154" s="56"/>
      <c r="Q1154" s="56"/>
      <c r="R1154" s="56"/>
      <c r="S1154" s="56"/>
      <c r="T1154" s="56"/>
      <c r="U1154" s="56"/>
      <c r="V1154" s="56"/>
      <c r="W1154" s="56"/>
      <c r="X1154" s="56"/>
      <c r="Y1154" s="56"/>
      <c r="Z1154" s="56"/>
      <c r="AA1154" s="56"/>
      <c r="AB1154" s="56"/>
    </row>
    <row r="1155" ht="21.0" customHeight="1">
      <c r="A1155" s="55"/>
      <c r="B1155" s="60"/>
      <c r="C1155" s="60"/>
      <c r="D1155" s="57"/>
      <c r="E1155" s="57"/>
      <c r="F1155" s="56"/>
      <c r="G1155" s="56"/>
      <c r="H1155" s="56"/>
      <c r="I1155" s="56"/>
      <c r="J1155" s="56"/>
      <c r="K1155" s="56"/>
      <c r="L1155" s="56"/>
      <c r="M1155" s="56"/>
      <c r="N1155" s="56"/>
      <c r="O1155" s="56"/>
      <c r="P1155" s="56"/>
      <c r="Q1155" s="56"/>
      <c r="R1155" s="56"/>
      <c r="S1155" s="56"/>
      <c r="T1155" s="56"/>
      <c r="U1155" s="56"/>
      <c r="V1155" s="56"/>
      <c r="W1155" s="56"/>
      <c r="X1155" s="56"/>
      <c r="Y1155" s="56"/>
      <c r="Z1155" s="56"/>
      <c r="AA1155" s="56"/>
      <c r="AB1155" s="56"/>
    </row>
    <row r="1156" ht="21.0" customHeight="1">
      <c r="A1156" s="55"/>
      <c r="B1156" s="60"/>
      <c r="C1156" s="60"/>
      <c r="D1156" s="57"/>
      <c r="E1156" s="57"/>
      <c r="F1156" s="56"/>
      <c r="G1156" s="56"/>
      <c r="H1156" s="56"/>
      <c r="I1156" s="56"/>
      <c r="J1156" s="56"/>
      <c r="K1156" s="56"/>
      <c r="L1156" s="56"/>
      <c r="M1156" s="56"/>
      <c r="N1156" s="56"/>
      <c r="O1156" s="56"/>
      <c r="P1156" s="56"/>
      <c r="Q1156" s="56"/>
      <c r="R1156" s="56"/>
      <c r="S1156" s="56"/>
      <c r="T1156" s="56"/>
      <c r="U1156" s="56"/>
      <c r="V1156" s="56"/>
      <c r="W1156" s="56"/>
      <c r="X1156" s="56"/>
      <c r="Y1156" s="56"/>
      <c r="Z1156" s="56"/>
      <c r="AA1156" s="56"/>
      <c r="AB1156" s="56"/>
    </row>
    <row r="1157" ht="21.0" customHeight="1">
      <c r="A1157" s="55"/>
      <c r="B1157" s="60"/>
      <c r="C1157" s="60"/>
      <c r="D1157" s="57"/>
      <c r="E1157" s="57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  <c r="S1157" s="56"/>
      <c r="T1157" s="56"/>
      <c r="U1157" s="56"/>
      <c r="V1157" s="56"/>
      <c r="W1157" s="56"/>
      <c r="X1157" s="56"/>
      <c r="Y1157" s="56"/>
      <c r="Z1157" s="56"/>
      <c r="AA1157" s="56"/>
      <c r="AB1157" s="56"/>
    </row>
    <row r="1158" ht="21.0" customHeight="1">
      <c r="A1158" s="55"/>
      <c r="B1158" s="60"/>
      <c r="C1158" s="60"/>
      <c r="D1158" s="57"/>
      <c r="E1158" s="57"/>
      <c r="F1158" s="56"/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  <c r="R1158" s="56"/>
      <c r="S1158" s="56"/>
      <c r="T1158" s="56"/>
      <c r="U1158" s="56"/>
      <c r="V1158" s="56"/>
      <c r="W1158" s="56"/>
      <c r="X1158" s="56"/>
      <c r="Y1158" s="56"/>
      <c r="Z1158" s="56"/>
      <c r="AA1158" s="56"/>
      <c r="AB1158" s="56"/>
    </row>
    <row r="1159" ht="21.0" customHeight="1">
      <c r="A1159" s="55"/>
      <c r="B1159" s="60"/>
      <c r="C1159" s="60"/>
      <c r="D1159" s="57"/>
      <c r="E1159" s="57"/>
      <c r="F1159" s="56"/>
      <c r="G1159" s="56"/>
      <c r="H1159" s="56"/>
      <c r="I1159" s="56"/>
      <c r="J1159" s="56"/>
      <c r="K1159" s="56"/>
      <c r="L1159" s="56"/>
      <c r="M1159" s="56"/>
      <c r="N1159" s="56"/>
      <c r="O1159" s="56"/>
      <c r="P1159" s="56"/>
      <c r="Q1159" s="56"/>
      <c r="R1159" s="56"/>
      <c r="S1159" s="56"/>
      <c r="T1159" s="56"/>
      <c r="U1159" s="56"/>
      <c r="V1159" s="56"/>
      <c r="W1159" s="56"/>
      <c r="X1159" s="56"/>
      <c r="Y1159" s="56"/>
      <c r="Z1159" s="56"/>
      <c r="AA1159" s="56"/>
      <c r="AB1159" s="56"/>
    </row>
    <row r="1160" ht="21.0" customHeight="1">
      <c r="A1160" s="55"/>
      <c r="B1160" s="60"/>
      <c r="C1160" s="60"/>
      <c r="D1160" s="57"/>
      <c r="E1160" s="57"/>
      <c r="F1160" s="56"/>
      <c r="G1160" s="56"/>
      <c r="H1160" s="56"/>
      <c r="I1160" s="56"/>
      <c r="J1160" s="56"/>
      <c r="K1160" s="56"/>
      <c r="L1160" s="56"/>
      <c r="M1160" s="56"/>
      <c r="N1160" s="56"/>
      <c r="O1160" s="56"/>
      <c r="P1160" s="56"/>
      <c r="Q1160" s="56"/>
      <c r="R1160" s="56"/>
      <c r="S1160" s="56"/>
      <c r="T1160" s="56"/>
      <c r="U1160" s="56"/>
      <c r="V1160" s="56"/>
      <c r="W1160" s="56"/>
      <c r="X1160" s="56"/>
      <c r="Y1160" s="56"/>
      <c r="Z1160" s="56"/>
      <c r="AA1160" s="56"/>
      <c r="AB1160" s="56"/>
    </row>
    <row r="1161" ht="21.0" customHeight="1">
      <c r="A1161" s="55"/>
      <c r="B1161" s="60"/>
      <c r="C1161" s="60"/>
      <c r="D1161" s="57"/>
      <c r="E1161" s="57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  <c r="S1161" s="56"/>
      <c r="T1161" s="56"/>
      <c r="U1161" s="56"/>
      <c r="V1161" s="56"/>
      <c r="W1161" s="56"/>
      <c r="X1161" s="56"/>
      <c r="Y1161" s="56"/>
      <c r="Z1161" s="56"/>
      <c r="AA1161" s="56"/>
      <c r="AB1161" s="56"/>
    </row>
    <row r="1162" ht="21.0" customHeight="1">
      <c r="A1162" s="55"/>
      <c r="B1162" s="60"/>
      <c r="C1162" s="60"/>
      <c r="D1162" s="57"/>
      <c r="E1162" s="57"/>
      <c r="F1162" s="56"/>
      <c r="G1162" s="56"/>
      <c r="H1162" s="56"/>
      <c r="I1162" s="56"/>
      <c r="J1162" s="56"/>
      <c r="K1162" s="56"/>
      <c r="L1162" s="56"/>
      <c r="M1162" s="56"/>
      <c r="N1162" s="56"/>
      <c r="O1162" s="56"/>
      <c r="P1162" s="56"/>
      <c r="Q1162" s="56"/>
      <c r="R1162" s="56"/>
      <c r="S1162" s="56"/>
      <c r="T1162" s="56"/>
      <c r="U1162" s="56"/>
      <c r="V1162" s="56"/>
      <c r="W1162" s="56"/>
      <c r="X1162" s="56"/>
      <c r="Y1162" s="56"/>
      <c r="Z1162" s="56"/>
      <c r="AA1162" s="56"/>
      <c r="AB1162" s="56"/>
    </row>
    <row r="1163" ht="21.0" customHeight="1">
      <c r="A1163" s="55"/>
      <c r="B1163" s="60"/>
      <c r="C1163" s="60"/>
      <c r="D1163" s="57"/>
      <c r="E1163" s="57"/>
      <c r="F1163" s="56"/>
      <c r="G1163" s="56"/>
      <c r="H1163" s="56"/>
      <c r="I1163" s="56"/>
      <c r="J1163" s="56"/>
      <c r="K1163" s="56"/>
      <c r="L1163" s="56"/>
      <c r="M1163" s="56"/>
      <c r="N1163" s="56"/>
      <c r="O1163" s="56"/>
      <c r="P1163" s="56"/>
      <c r="Q1163" s="56"/>
      <c r="R1163" s="56"/>
      <c r="S1163" s="56"/>
      <c r="T1163" s="56"/>
      <c r="U1163" s="56"/>
      <c r="V1163" s="56"/>
      <c r="W1163" s="56"/>
      <c r="X1163" s="56"/>
      <c r="Y1163" s="56"/>
      <c r="Z1163" s="56"/>
      <c r="AA1163" s="56"/>
      <c r="AB1163" s="56"/>
    </row>
    <row r="1164" ht="21.0" customHeight="1">
      <c r="A1164" s="55"/>
      <c r="B1164" s="60"/>
      <c r="C1164" s="60"/>
      <c r="D1164" s="57"/>
      <c r="E1164" s="57"/>
      <c r="F1164" s="56"/>
      <c r="G1164" s="56"/>
      <c r="H1164" s="56"/>
      <c r="I1164" s="56"/>
      <c r="J1164" s="56"/>
      <c r="K1164" s="56"/>
      <c r="L1164" s="56"/>
      <c r="M1164" s="56"/>
      <c r="N1164" s="56"/>
      <c r="O1164" s="56"/>
      <c r="P1164" s="56"/>
      <c r="Q1164" s="56"/>
      <c r="R1164" s="56"/>
      <c r="S1164" s="56"/>
      <c r="T1164" s="56"/>
      <c r="U1164" s="56"/>
      <c r="V1164" s="56"/>
      <c r="W1164" s="56"/>
      <c r="X1164" s="56"/>
      <c r="Y1164" s="56"/>
      <c r="Z1164" s="56"/>
      <c r="AA1164" s="56"/>
      <c r="AB1164" s="56"/>
    </row>
    <row r="1165" ht="21.0" customHeight="1">
      <c r="A1165" s="55"/>
      <c r="B1165" s="60"/>
      <c r="C1165" s="60"/>
      <c r="D1165" s="57"/>
      <c r="E1165" s="57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  <c r="S1165" s="56"/>
      <c r="T1165" s="56"/>
      <c r="U1165" s="56"/>
      <c r="V1165" s="56"/>
      <c r="W1165" s="56"/>
      <c r="X1165" s="56"/>
      <c r="Y1165" s="56"/>
      <c r="Z1165" s="56"/>
      <c r="AA1165" s="56"/>
      <c r="AB1165" s="56"/>
    </row>
    <row r="1166" ht="21.0" customHeight="1">
      <c r="A1166" s="55"/>
      <c r="B1166" s="60"/>
      <c r="C1166" s="60"/>
      <c r="D1166" s="57"/>
      <c r="E1166" s="57"/>
      <c r="F1166" s="56"/>
      <c r="G1166" s="56"/>
      <c r="H1166" s="56"/>
      <c r="I1166" s="56"/>
      <c r="J1166" s="56"/>
      <c r="K1166" s="56"/>
      <c r="L1166" s="56"/>
      <c r="M1166" s="56"/>
      <c r="N1166" s="56"/>
      <c r="O1166" s="56"/>
      <c r="P1166" s="56"/>
      <c r="Q1166" s="56"/>
      <c r="R1166" s="56"/>
      <c r="S1166" s="56"/>
      <c r="T1166" s="56"/>
      <c r="U1166" s="56"/>
      <c r="V1166" s="56"/>
      <c r="W1166" s="56"/>
      <c r="X1166" s="56"/>
      <c r="Y1166" s="56"/>
      <c r="Z1166" s="56"/>
      <c r="AA1166" s="56"/>
      <c r="AB1166" s="56"/>
    </row>
    <row r="1167" ht="21.0" customHeight="1">
      <c r="A1167" s="55"/>
      <c r="B1167" s="60"/>
      <c r="C1167" s="60"/>
      <c r="D1167" s="57"/>
      <c r="E1167" s="57"/>
      <c r="F1167" s="56"/>
      <c r="G1167" s="56"/>
      <c r="H1167" s="56"/>
      <c r="I1167" s="56"/>
      <c r="J1167" s="56"/>
      <c r="K1167" s="56"/>
      <c r="L1167" s="56"/>
      <c r="M1167" s="56"/>
      <c r="N1167" s="56"/>
      <c r="O1167" s="56"/>
      <c r="P1167" s="56"/>
      <c r="Q1167" s="56"/>
      <c r="R1167" s="56"/>
      <c r="S1167" s="56"/>
      <c r="T1167" s="56"/>
      <c r="U1167" s="56"/>
      <c r="V1167" s="56"/>
      <c r="W1167" s="56"/>
      <c r="X1167" s="56"/>
      <c r="Y1167" s="56"/>
      <c r="Z1167" s="56"/>
      <c r="AA1167" s="56"/>
      <c r="AB1167" s="56"/>
    </row>
    <row r="1168" ht="21.0" customHeight="1">
      <c r="A1168" s="55"/>
      <c r="B1168" s="60"/>
      <c r="C1168" s="60"/>
      <c r="D1168" s="57"/>
      <c r="E1168" s="57"/>
      <c r="F1168" s="56"/>
      <c r="G1168" s="56"/>
      <c r="H1168" s="56"/>
      <c r="I1168" s="56"/>
      <c r="J1168" s="56"/>
      <c r="K1168" s="56"/>
      <c r="L1168" s="56"/>
      <c r="M1168" s="56"/>
      <c r="N1168" s="56"/>
      <c r="O1168" s="56"/>
      <c r="P1168" s="56"/>
      <c r="Q1168" s="56"/>
      <c r="R1168" s="56"/>
      <c r="S1168" s="56"/>
      <c r="T1168" s="56"/>
      <c r="U1168" s="56"/>
      <c r="V1168" s="56"/>
      <c r="W1168" s="56"/>
      <c r="X1168" s="56"/>
      <c r="Y1168" s="56"/>
      <c r="Z1168" s="56"/>
      <c r="AA1168" s="56"/>
      <c r="AB1168" s="56"/>
    </row>
    <row r="1169" ht="21.0" customHeight="1">
      <c r="A1169" s="55"/>
      <c r="B1169" s="60"/>
      <c r="C1169" s="60"/>
      <c r="D1169" s="57"/>
      <c r="E1169" s="57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</row>
    <row r="1170" ht="21.0" customHeight="1">
      <c r="A1170" s="55"/>
      <c r="B1170" s="60"/>
      <c r="C1170" s="60"/>
      <c r="D1170" s="57"/>
      <c r="E1170" s="57"/>
      <c r="F1170" s="56"/>
      <c r="G1170" s="56"/>
      <c r="H1170" s="56"/>
      <c r="I1170" s="56"/>
      <c r="J1170" s="56"/>
      <c r="K1170" s="56"/>
      <c r="L1170" s="56"/>
      <c r="M1170" s="56"/>
      <c r="N1170" s="56"/>
      <c r="O1170" s="56"/>
      <c r="P1170" s="56"/>
      <c r="Q1170" s="56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</row>
    <row r="1171" ht="21.0" customHeight="1">
      <c r="A1171" s="55"/>
      <c r="B1171" s="60"/>
      <c r="C1171" s="60"/>
      <c r="D1171" s="57"/>
      <c r="E1171" s="57"/>
      <c r="F1171" s="56"/>
      <c r="G1171" s="56"/>
      <c r="H1171" s="56"/>
      <c r="I1171" s="56"/>
      <c r="J1171" s="56"/>
      <c r="K1171" s="56"/>
      <c r="L1171" s="56"/>
      <c r="M1171" s="56"/>
      <c r="N1171" s="56"/>
      <c r="O1171" s="56"/>
      <c r="P1171" s="56"/>
      <c r="Q1171" s="56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</row>
    <row r="1172" ht="21.0" customHeight="1">
      <c r="A1172" s="55"/>
      <c r="B1172" s="60"/>
      <c r="C1172" s="60"/>
      <c r="D1172" s="57"/>
      <c r="E1172" s="57"/>
      <c r="F1172" s="56"/>
      <c r="G1172" s="56"/>
      <c r="H1172" s="56"/>
      <c r="I1172" s="56"/>
      <c r="J1172" s="56"/>
      <c r="K1172" s="56"/>
      <c r="L1172" s="56"/>
      <c r="M1172" s="56"/>
      <c r="N1172" s="56"/>
      <c r="O1172" s="56"/>
      <c r="P1172" s="56"/>
      <c r="Q1172" s="56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</row>
    <row r="1173" ht="21.0" customHeight="1">
      <c r="A1173" s="55"/>
      <c r="B1173" s="60"/>
      <c r="C1173" s="60"/>
      <c r="D1173" s="57"/>
      <c r="E1173" s="57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</row>
    <row r="1174" ht="21.0" customHeight="1">
      <c r="A1174" s="55"/>
      <c r="B1174" s="60"/>
      <c r="C1174" s="60"/>
      <c r="D1174" s="57"/>
      <c r="E1174" s="57"/>
      <c r="F1174" s="56"/>
      <c r="G1174" s="56"/>
      <c r="H1174" s="56"/>
      <c r="I1174" s="56"/>
      <c r="J1174" s="56"/>
      <c r="K1174" s="56"/>
      <c r="L1174" s="56"/>
      <c r="M1174" s="56"/>
      <c r="N1174" s="56"/>
      <c r="O1174" s="56"/>
      <c r="P1174" s="56"/>
      <c r="Q1174" s="56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</row>
    <row r="1175" ht="21.0" customHeight="1">
      <c r="A1175" s="55"/>
      <c r="B1175" s="60"/>
      <c r="C1175" s="60"/>
      <c r="D1175" s="57"/>
      <c r="E1175" s="57"/>
      <c r="F1175" s="56"/>
      <c r="G1175" s="56"/>
      <c r="H1175" s="56"/>
      <c r="I1175" s="56"/>
      <c r="J1175" s="56"/>
      <c r="K1175" s="56"/>
      <c r="L1175" s="56"/>
      <c r="M1175" s="56"/>
      <c r="N1175" s="56"/>
      <c r="O1175" s="56"/>
      <c r="P1175" s="56"/>
      <c r="Q1175" s="56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</row>
    <row r="1176" ht="21.0" customHeight="1">
      <c r="A1176" s="55"/>
      <c r="B1176" s="60"/>
      <c r="C1176" s="60"/>
      <c r="D1176" s="57"/>
      <c r="E1176" s="57"/>
      <c r="F1176" s="56"/>
      <c r="G1176" s="56"/>
      <c r="H1176" s="56"/>
      <c r="I1176" s="56"/>
      <c r="J1176" s="56"/>
      <c r="K1176" s="56"/>
      <c r="L1176" s="56"/>
      <c r="M1176" s="56"/>
      <c r="N1176" s="56"/>
      <c r="O1176" s="56"/>
      <c r="P1176" s="56"/>
      <c r="Q1176" s="56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</row>
    <row r="1177" ht="21.0" customHeight="1">
      <c r="A1177" s="55"/>
      <c r="B1177" s="60"/>
      <c r="C1177" s="60"/>
      <c r="D1177" s="57"/>
      <c r="E1177" s="57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</row>
    <row r="1178" ht="21.0" customHeight="1">
      <c r="A1178" s="55"/>
      <c r="B1178" s="60"/>
      <c r="C1178" s="60"/>
      <c r="D1178" s="57"/>
      <c r="E1178" s="57"/>
      <c r="F1178" s="56"/>
      <c r="G1178" s="56"/>
      <c r="H1178" s="56"/>
      <c r="I1178" s="56"/>
      <c r="J1178" s="56"/>
      <c r="K1178" s="56"/>
      <c r="L1178" s="56"/>
      <c r="M1178" s="56"/>
      <c r="N1178" s="56"/>
      <c r="O1178" s="56"/>
      <c r="P1178" s="56"/>
      <c r="Q1178" s="56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</row>
    <row r="1179" ht="21.0" customHeight="1">
      <c r="A1179" s="55"/>
      <c r="B1179" s="60"/>
      <c r="C1179" s="60"/>
      <c r="D1179" s="57"/>
      <c r="E1179" s="57"/>
      <c r="F1179" s="56"/>
      <c r="G1179" s="56"/>
      <c r="H1179" s="56"/>
      <c r="I1179" s="56"/>
      <c r="J1179" s="56"/>
      <c r="K1179" s="56"/>
      <c r="L1179" s="56"/>
      <c r="M1179" s="56"/>
      <c r="N1179" s="56"/>
      <c r="O1179" s="56"/>
      <c r="P1179" s="56"/>
      <c r="Q1179" s="56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</row>
    <row r="1180" ht="21.0" customHeight="1">
      <c r="A1180" s="55"/>
      <c r="B1180" s="60"/>
      <c r="C1180" s="60"/>
      <c r="D1180" s="57"/>
      <c r="E1180" s="57"/>
      <c r="F1180" s="56"/>
      <c r="G1180" s="56"/>
      <c r="H1180" s="56"/>
      <c r="I1180" s="56"/>
      <c r="J1180" s="56"/>
      <c r="K1180" s="56"/>
      <c r="L1180" s="56"/>
      <c r="M1180" s="56"/>
      <c r="N1180" s="56"/>
      <c r="O1180" s="56"/>
      <c r="P1180" s="56"/>
      <c r="Q1180" s="56"/>
      <c r="R1180" s="56"/>
      <c r="S1180" s="56"/>
      <c r="T1180" s="56"/>
      <c r="U1180" s="56"/>
      <c r="V1180" s="56"/>
      <c r="W1180" s="56"/>
      <c r="X1180" s="56"/>
      <c r="Y1180" s="56"/>
      <c r="Z1180" s="56"/>
      <c r="AA1180" s="56"/>
      <c r="AB1180" s="56"/>
    </row>
    <row r="1181" ht="21.0" customHeight="1">
      <c r="A1181" s="55"/>
      <c r="B1181" s="60"/>
      <c r="C1181" s="60"/>
      <c r="D1181" s="57"/>
      <c r="E1181" s="57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</row>
    <row r="1182" ht="21.0" customHeight="1">
      <c r="A1182" s="55"/>
      <c r="B1182" s="60"/>
      <c r="C1182" s="60"/>
      <c r="D1182" s="57"/>
      <c r="E1182" s="57"/>
      <c r="F1182" s="56"/>
      <c r="G1182" s="56"/>
      <c r="H1182" s="56"/>
      <c r="I1182" s="56"/>
      <c r="J1182" s="56"/>
      <c r="K1182" s="56"/>
      <c r="L1182" s="56"/>
      <c r="M1182" s="56"/>
      <c r="N1182" s="56"/>
      <c r="O1182" s="56"/>
      <c r="P1182" s="56"/>
      <c r="Q1182" s="56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</row>
    <row r="1183" ht="21.0" customHeight="1">
      <c r="A1183" s="55"/>
      <c r="B1183" s="60"/>
      <c r="C1183" s="60"/>
      <c r="D1183" s="57"/>
      <c r="E1183" s="57"/>
      <c r="F1183" s="56"/>
      <c r="G1183" s="56"/>
      <c r="H1183" s="56"/>
      <c r="I1183" s="56"/>
      <c r="J1183" s="56"/>
      <c r="K1183" s="56"/>
      <c r="L1183" s="56"/>
      <c r="M1183" s="56"/>
      <c r="N1183" s="56"/>
      <c r="O1183" s="56"/>
      <c r="P1183" s="56"/>
      <c r="Q1183" s="56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</row>
    <row r="1184" ht="21.0" customHeight="1">
      <c r="A1184" s="55"/>
      <c r="B1184" s="60"/>
      <c r="C1184" s="60"/>
      <c r="D1184" s="57"/>
      <c r="E1184" s="57"/>
      <c r="F1184" s="56"/>
      <c r="G1184" s="56"/>
      <c r="H1184" s="56"/>
      <c r="I1184" s="56"/>
      <c r="J1184" s="56"/>
      <c r="K1184" s="56"/>
      <c r="L1184" s="56"/>
      <c r="M1184" s="56"/>
      <c r="N1184" s="56"/>
      <c r="O1184" s="56"/>
      <c r="P1184" s="56"/>
      <c r="Q1184" s="56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</row>
    <row r="1185" ht="21.0" customHeight="1">
      <c r="A1185" s="55"/>
      <c r="B1185" s="60"/>
      <c r="C1185" s="60"/>
      <c r="D1185" s="57"/>
      <c r="E1185" s="57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</row>
    <row r="1186" ht="21.0" customHeight="1">
      <c r="A1186" s="55"/>
      <c r="B1186" s="60"/>
      <c r="C1186" s="60"/>
      <c r="D1186" s="57"/>
      <c r="E1186" s="57"/>
      <c r="F1186" s="56"/>
      <c r="G1186" s="56"/>
      <c r="H1186" s="56"/>
      <c r="I1186" s="56"/>
      <c r="J1186" s="56"/>
      <c r="K1186" s="56"/>
      <c r="L1186" s="56"/>
      <c r="M1186" s="56"/>
      <c r="N1186" s="56"/>
      <c r="O1186" s="56"/>
      <c r="P1186" s="56"/>
      <c r="Q1186" s="56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</row>
    <row r="1187" ht="21.0" customHeight="1">
      <c r="A1187" s="55"/>
      <c r="B1187" s="60"/>
      <c r="C1187" s="60"/>
      <c r="D1187" s="57"/>
      <c r="E1187" s="57"/>
      <c r="F1187" s="56"/>
      <c r="G1187" s="56"/>
      <c r="H1187" s="56"/>
      <c r="I1187" s="56"/>
      <c r="J1187" s="56"/>
      <c r="K1187" s="56"/>
      <c r="L1187" s="56"/>
      <c r="M1187" s="56"/>
      <c r="N1187" s="56"/>
      <c r="O1187" s="56"/>
      <c r="P1187" s="56"/>
      <c r="Q1187" s="56"/>
      <c r="R1187" s="56"/>
      <c r="S1187" s="56"/>
      <c r="T1187" s="56"/>
      <c r="U1187" s="56"/>
      <c r="V1187" s="56"/>
      <c r="W1187" s="56"/>
      <c r="X1187" s="56"/>
      <c r="Y1187" s="56"/>
      <c r="Z1187" s="56"/>
      <c r="AA1187" s="56"/>
      <c r="AB1187" s="56"/>
    </row>
    <row r="1188" ht="21.0" customHeight="1">
      <c r="A1188" s="55"/>
      <c r="B1188" s="60"/>
      <c r="C1188" s="60"/>
      <c r="D1188" s="57"/>
      <c r="E1188" s="57"/>
      <c r="F1188" s="56"/>
      <c r="G1188" s="56"/>
      <c r="H1188" s="56"/>
      <c r="I1188" s="56"/>
      <c r="J1188" s="56"/>
      <c r="K1188" s="56"/>
      <c r="L1188" s="56"/>
      <c r="M1188" s="56"/>
      <c r="N1188" s="56"/>
      <c r="O1188" s="56"/>
      <c r="P1188" s="56"/>
      <c r="Q1188" s="56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</row>
    <row r="1189" ht="21.0" customHeight="1">
      <c r="A1189" s="55"/>
      <c r="B1189" s="60"/>
      <c r="C1189" s="60"/>
      <c r="D1189" s="57"/>
      <c r="E1189" s="57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</row>
    <row r="1190" ht="21.0" customHeight="1">
      <c r="A1190" s="55"/>
      <c r="B1190" s="60"/>
      <c r="C1190" s="60"/>
      <c r="D1190" s="57"/>
      <c r="E1190" s="57"/>
      <c r="F1190" s="56"/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</row>
    <row r="1191" ht="21.0" customHeight="1">
      <c r="A1191" s="55"/>
      <c r="B1191" s="60"/>
      <c r="C1191" s="60"/>
      <c r="D1191" s="57"/>
      <c r="E1191" s="57"/>
      <c r="F1191" s="56"/>
      <c r="G1191" s="56"/>
      <c r="H1191" s="56"/>
      <c r="I1191" s="56"/>
      <c r="J1191" s="56"/>
      <c r="K1191" s="56"/>
      <c r="L1191" s="56"/>
      <c r="M1191" s="56"/>
      <c r="N1191" s="56"/>
      <c r="O1191" s="56"/>
      <c r="P1191" s="56"/>
      <c r="Q1191" s="56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</row>
    <row r="1192" ht="21.0" customHeight="1">
      <c r="A1192" s="55"/>
      <c r="B1192" s="60"/>
      <c r="C1192" s="60"/>
      <c r="D1192" s="57"/>
      <c r="E1192" s="57"/>
      <c r="F1192" s="56"/>
      <c r="G1192" s="56"/>
      <c r="H1192" s="56"/>
      <c r="I1192" s="56"/>
      <c r="J1192" s="56"/>
      <c r="K1192" s="56"/>
      <c r="L1192" s="56"/>
      <c r="M1192" s="56"/>
      <c r="N1192" s="56"/>
      <c r="O1192" s="56"/>
      <c r="P1192" s="56"/>
      <c r="Q1192" s="56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</row>
    <row r="1193" ht="21.0" customHeight="1">
      <c r="A1193" s="55"/>
      <c r="B1193" s="60"/>
      <c r="C1193" s="60"/>
      <c r="D1193" s="57"/>
      <c r="E1193" s="57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</row>
    <row r="1194" ht="21.0" customHeight="1">
      <c r="A1194" s="55"/>
      <c r="B1194" s="60"/>
      <c r="C1194" s="60"/>
      <c r="D1194" s="57"/>
      <c r="E1194" s="57"/>
      <c r="F1194" s="56"/>
      <c r="G1194" s="56"/>
      <c r="H1194" s="56"/>
      <c r="I1194" s="56"/>
      <c r="J1194" s="56"/>
      <c r="K1194" s="56"/>
      <c r="L1194" s="56"/>
      <c r="M1194" s="56"/>
      <c r="N1194" s="56"/>
      <c r="O1194" s="56"/>
      <c r="P1194" s="56"/>
      <c r="Q1194" s="56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</row>
    <row r="1195" ht="21.0" customHeight="1">
      <c r="A1195" s="55"/>
      <c r="B1195" s="60"/>
      <c r="C1195" s="60"/>
      <c r="D1195" s="57"/>
      <c r="E1195" s="57"/>
      <c r="F1195" s="56"/>
      <c r="G1195" s="56"/>
      <c r="H1195" s="56"/>
      <c r="I1195" s="56"/>
      <c r="J1195" s="56"/>
      <c r="K1195" s="56"/>
      <c r="L1195" s="56"/>
      <c r="M1195" s="56"/>
      <c r="N1195" s="56"/>
      <c r="O1195" s="56"/>
      <c r="P1195" s="56"/>
      <c r="Q1195" s="56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</row>
    <row r="1196" ht="21.0" customHeight="1">
      <c r="A1196" s="55"/>
      <c r="B1196" s="60"/>
      <c r="C1196" s="60"/>
      <c r="D1196" s="57"/>
      <c r="E1196" s="57"/>
      <c r="F1196" s="56"/>
      <c r="G1196" s="56"/>
      <c r="H1196" s="56"/>
      <c r="I1196" s="56"/>
      <c r="J1196" s="56"/>
      <c r="K1196" s="56"/>
      <c r="L1196" s="56"/>
      <c r="M1196" s="56"/>
      <c r="N1196" s="56"/>
      <c r="O1196" s="56"/>
      <c r="P1196" s="56"/>
      <c r="Q1196" s="56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</row>
    <row r="1197" ht="21.0" customHeight="1">
      <c r="A1197" s="55"/>
      <c r="B1197" s="60"/>
      <c r="C1197" s="60"/>
      <c r="D1197" s="57"/>
      <c r="E1197" s="57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</row>
    <row r="1198" ht="21.0" customHeight="1">
      <c r="A1198" s="55"/>
      <c r="B1198" s="60"/>
      <c r="C1198" s="60"/>
      <c r="D1198" s="57"/>
      <c r="E1198" s="57"/>
      <c r="F1198" s="56"/>
      <c r="G1198" s="56"/>
      <c r="H1198" s="56"/>
      <c r="I1198" s="56"/>
      <c r="J1198" s="56"/>
      <c r="K1198" s="56"/>
      <c r="L1198" s="56"/>
      <c r="M1198" s="56"/>
      <c r="N1198" s="56"/>
      <c r="O1198" s="56"/>
      <c r="P1198" s="56"/>
      <c r="Q1198" s="56"/>
      <c r="R1198" s="56"/>
      <c r="S1198" s="56"/>
      <c r="T1198" s="56"/>
      <c r="U1198" s="56"/>
      <c r="V1198" s="56"/>
      <c r="W1198" s="56"/>
      <c r="X1198" s="56"/>
      <c r="Y1198" s="56"/>
      <c r="Z1198" s="56"/>
      <c r="AA1198" s="56"/>
      <c r="AB1198" s="56"/>
    </row>
    <row r="1199" ht="21.0" customHeight="1">
      <c r="A1199" s="55"/>
      <c r="B1199" s="60"/>
      <c r="C1199" s="60"/>
      <c r="D1199" s="57"/>
      <c r="E1199" s="57"/>
      <c r="F1199" s="56"/>
      <c r="G1199" s="56"/>
      <c r="H1199" s="56"/>
      <c r="I1199" s="56"/>
      <c r="J1199" s="56"/>
      <c r="K1199" s="56"/>
      <c r="L1199" s="56"/>
      <c r="M1199" s="56"/>
      <c r="N1199" s="56"/>
      <c r="O1199" s="56"/>
      <c r="P1199" s="56"/>
      <c r="Q1199" s="56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</row>
    <row r="1200" ht="21.0" customHeight="1">
      <c r="A1200" s="55"/>
      <c r="B1200" s="60"/>
      <c r="C1200" s="60"/>
      <c r="D1200" s="57"/>
      <c r="E1200" s="57"/>
      <c r="F1200" s="56"/>
      <c r="G1200" s="56"/>
      <c r="H1200" s="56"/>
      <c r="I1200" s="56"/>
      <c r="J1200" s="56"/>
      <c r="K1200" s="56"/>
      <c r="L1200" s="56"/>
      <c r="M1200" s="56"/>
      <c r="N1200" s="56"/>
      <c r="O1200" s="56"/>
      <c r="P1200" s="56"/>
      <c r="Q1200" s="56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</row>
    <row r="1201" ht="21.0" customHeight="1">
      <c r="A1201" s="55"/>
      <c r="B1201" s="60"/>
      <c r="C1201" s="60"/>
      <c r="D1201" s="57"/>
      <c r="E1201" s="57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</row>
    <row r="1202" ht="21.0" customHeight="1">
      <c r="A1202" s="55"/>
      <c r="B1202" s="60"/>
      <c r="C1202" s="60"/>
      <c r="D1202" s="57"/>
      <c r="E1202" s="57"/>
      <c r="F1202" s="56"/>
      <c r="G1202" s="56"/>
      <c r="H1202" s="56"/>
      <c r="I1202" s="56"/>
      <c r="J1202" s="56"/>
      <c r="K1202" s="56"/>
      <c r="L1202" s="56"/>
      <c r="M1202" s="56"/>
      <c r="N1202" s="56"/>
      <c r="O1202" s="56"/>
      <c r="P1202" s="56"/>
      <c r="Q1202" s="56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</row>
    <row r="1203" ht="21.0" customHeight="1">
      <c r="A1203" s="55"/>
      <c r="B1203" s="60"/>
      <c r="C1203" s="60"/>
      <c r="D1203" s="57"/>
      <c r="E1203" s="57"/>
      <c r="F1203" s="56"/>
      <c r="G1203" s="56"/>
      <c r="H1203" s="56"/>
      <c r="I1203" s="56"/>
      <c r="J1203" s="56"/>
      <c r="K1203" s="56"/>
      <c r="L1203" s="56"/>
      <c r="M1203" s="56"/>
      <c r="N1203" s="56"/>
      <c r="O1203" s="56"/>
      <c r="P1203" s="56"/>
      <c r="Q1203" s="56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</row>
    <row r="1204" ht="21.0" customHeight="1">
      <c r="A1204" s="55"/>
      <c r="B1204" s="60"/>
      <c r="C1204" s="60"/>
      <c r="D1204" s="57"/>
      <c r="E1204" s="57"/>
      <c r="F1204" s="56"/>
      <c r="G1204" s="56"/>
      <c r="H1204" s="56"/>
      <c r="I1204" s="56"/>
      <c r="J1204" s="56"/>
      <c r="K1204" s="56"/>
      <c r="L1204" s="56"/>
      <c r="M1204" s="56"/>
      <c r="N1204" s="56"/>
      <c r="O1204" s="56"/>
      <c r="P1204" s="56"/>
      <c r="Q1204" s="56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</row>
    <row r="1205" ht="21.0" customHeight="1">
      <c r="A1205" s="55"/>
      <c r="B1205" s="60"/>
      <c r="C1205" s="60"/>
      <c r="D1205" s="57"/>
      <c r="E1205" s="57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</row>
    <row r="1206" ht="21.0" customHeight="1">
      <c r="A1206" s="55"/>
      <c r="B1206" s="60"/>
      <c r="C1206" s="60"/>
      <c r="D1206" s="57"/>
      <c r="E1206" s="57"/>
      <c r="F1206" s="56"/>
      <c r="G1206" s="56"/>
      <c r="H1206" s="56"/>
      <c r="I1206" s="56"/>
      <c r="J1206" s="56"/>
      <c r="K1206" s="56"/>
      <c r="L1206" s="56"/>
      <c r="M1206" s="56"/>
      <c r="N1206" s="56"/>
      <c r="O1206" s="56"/>
      <c r="P1206" s="56"/>
      <c r="Q1206" s="56"/>
      <c r="R1206" s="56"/>
      <c r="S1206" s="56"/>
      <c r="T1206" s="56"/>
      <c r="U1206" s="56"/>
      <c r="V1206" s="56"/>
      <c r="W1206" s="56"/>
      <c r="X1206" s="56"/>
      <c r="Y1206" s="56"/>
      <c r="Z1206" s="56"/>
      <c r="AA1206" s="56"/>
      <c r="AB1206" s="56"/>
    </row>
    <row r="1207" ht="21.0" customHeight="1">
      <c r="A1207" s="55"/>
      <c r="B1207" s="60"/>
      <c r="C1207" s="60"/>
      <c r="D1207" s="57"/>
      <c r="E1207" s="57"/>
      <c r="F1207" s="56"/>
      <c r="G1207" s="56"/>
      <c r="H1207" s="56"/>
      <c r="I1207" s="56"/>
      <c r="J1207" s="56"/>
      <c r="K1207" s="56"/>
      <c r="L1207" s="56"/>
      <c r="M1207" s="56"/>
      <c r="N1207" s="56"/>
      <c r="O1207" s="56"/>
      <c r="P1207" s="56"/>
      <c r="Q1207" s="56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</row>
    <row r="1208" ht="21.0" customHeight="1">
      <c r="A1208" s="55"/>
      <c r="B1208" s="60"/>
      <c r="C1208" s="60"/>
      <c r="D1208" s="57"/>
      <c r="E1208" s="57"/>
      <c r="F1208" s="56"/>
      <c r="G1208" s="56"/>
      <c r="H1208" s="56"/>
      <c r="I1208" s="56"/>
      <c r="J1208" s="56"/>
      <c r="K1208" s="56"/>
      <c r="L1208" s="56"/>
      <c r="M1208" s="56"/>
      <c r="N1208" s="56"/>
      <c r="O1208" s="56"/>
      <c r="P1208" s="56"/>
      <c r="Q1208" s="56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</row>
    <row r="1209" ht="21.0" customHeight="1">
      <c r="A1209" s="55"/>
      <c r="B1209" s="60"/>
      <c r="C1209" s="60"/>
      <c r="D1209" s="57"/>
      <c r="E1209" s="57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</row>
    <row r="1210" ht="21.0" customHeight="1">
      <c r="A1210" s="55"/>
      <c r="B1210" s="60"/>
      <c r="C1210" s="60"/>
      <c r="D1210" s="57"/>
      <c r="E1210" s="57"/>
      <c r="F1210" s="56"/>
      <c r="G1210" s="56"/>
      <c r="H1210" s="56"/>
      <c r="I1210" s="56"/>
      <c r="J1210" s="56"/>
      <c r="K1210" s="56"/>
      <c r="L1210" s="56"/>
      <c r="M1210" s="56"/>
      <c r="N1210" s="56"/>
      <c r="O1210" s="56"/>
      <c r="P1210" s="56"/>
      <c r="Q1210" s="56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</row>
    <row r="1211" ht="21.0" customHeight="1">
      <c r="A1211" s="55"/>
      <c r="B1211" s="60"/>
      <c r="C1211" s="60"/>
      <c r="D1211" s="57"/>
      <c r="E1211" s="57"/>
      <c r="F1211" s="56"/>
      <c r="G1211" s="56"/>
      <c r="H1211" s="56"/>
      <c r="I1211" s="56"/>
      <c r="J1211" s="56"/>
      <c r="K1211" s="56"/>
      <c r="L1211" s="56"/>
      <c r="M1211" s="56"/>
      <c r="N1211" s="56"/>
      <c r="O1211" s="56"/>
      <c r="P1211" s="56"/>
      <c r="Q1211" s="56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</row>
    <row r="1212" ht="21.0" customHeight="1">
      <c r="A1212" s="55"/>
      <c r="B1212" s="60"/>
      <c r="C1212" s="60"/>
      <c r="D1212" s="57"/>
      <c r="E1212" s="57"/>
      <c r="F1212" s="56"/>
      <c r="G1212" s="56"/>
      <c r="H1212" s="56"/>
      <c r="I1212" s="56"/>
      <c r="J1212" s="56"/>
      <c r="K1212" s="56"/>
      <c r="L1212" s="56"/>
      <c r="M1212" s="56"/>
      <c r="N1212" s="56"/>
      <c r="O1212" s="56"/>
      <c r="P1212" s="56"/>
      <c r="Q1212" s="56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</row>
    <row r="1213" ht="21.0" customHeight="1">
      <c r="A1213" s="55"/>
      <c r="B1213" s="60"/>
      <c r="C1213" s="60"/>
      <c r="D1213" s="57"/>
      <c r="E1213" s="57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</row>
    <row r="1214" ht="21.0" customHeight="1">
      <c r="A1214" s="55"/>
      <c r="B1214" s="60"/>
      <c r="C1214" s="60"/>
      <c r="D1214" s="57"/>
      <c r="E1214" s="57"/>
      <c r="F1214" s="56"/>
      <c r="G1214" s="56"/>
      <c r="H1214" s="56"/>
      <c r="I1214" s="56"/>
      <c r="J1214" s="56"/>
      <c r="K1214" s="56"/>
      <c r="L1214" s="56"/>
      <c r="M1214" s="56"/>
      <c r="N1214" s="56"/>
      <c r="O1214" s="56"/>
      <c r="P1214" s="56"/>
      <c r="Q1214" s="56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</row>
    <row r="1215" ht="21.0" customHeight="1">
      <c r="A1215" s="55"/>
      <c r="B1215" s="60"/>
      <c r="C1215" s="60"/>
      <c r="D1215" s="57"/>
      <c r="E1215" s="57"/>
      <c r="F1215" s="56"/>
      <c r="G1215" s="56"/>
      <c r="H1215" s="56"/>
      <c r="I1215" s="56"/>
      <c r="J1215" s="56"/>
      <c r="K1215" s="56"/>
      <c r="L1215" s="56"/>
      <c r="M1215" s="56"/>
      <c r="N1215" s="56"/>
      <c r="O1215" s="56"/>
      <c r="P1215" s="56"/>
      <c r="Q1215" s="56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</row>
    <row r="1216" ht="21.0" customHeight="1">
      <c r="A1216" s="55"/>
      <c r="B1216" s="60"/>
      <c r="C1216" s="60"/>
      <c r="D1216" s="57"/>
      <c r="E1216" s="57"/>
      <c r="F1216" s="56"/>
      <c r="G1216" s="56"/>
      <c r="H1216" s="56"/>
      <c r="I1216" s="56"/>
      <c r="J1216" s="56"/>
      <c r="K1216" s="56"/>
      <c r="L1216" s="56"/>
      <c r="M1216" s="56"/>
      <c r="N1216" s="56"/>
      <c r="O1216" s="56"/>
      <c r="P1216" s="56"/>
      <c r="Q1216" s="56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</row>
    <row r="1217" ht="21.0" customHeight="1">
      <c r="A1217" s="55"/>
      <c r="B1217" s="60"/>
      <c r="C1217" s="60"/>
      <c r="D1217" s="57"/>
      <c r="E1217" s="57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</row>
    <row r="1218" ht="21.0" customHeight="1">
      <c r="A1218" s="55"/>
      <c r="B1218" s="60"/>
      <c r="C1218" s="60"/>
      <c r="D1218" s="57"/>
      <c r="E1218" s="57"/>
      <c r="F1218" s="56"/>
      <c r="G1218" s="56"/>
      <c r="H1218" s="56"/>
      <c r="I1218" s="56"/>
      <c r="J1218" s="56"/>
      <c r="K1218" s="56"/>
      <c r="L1218" s="56"/>
      <c r="M1218" s="56"/>
      <c r="N1218" s="56"/>
      <c r="O1218" s="56"/>
      <c r="P1218" s="56"/>
      <c r="Q1218" s="56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</row>
    <row r="1219" ht="21.0" customHeight="1">
      <c r="A1219" s="55"/>
      <c r="B1219" s="60"/>
      <c r="C1219" s="60"/>
      <c r="D1219" s="57"/>
      <c r="E1219" s="57"/>
      <c r="F1219" s="56"/>
      <c r="G1219" s="56"/>
      <c r="H1219" s="56"/>
      <c r="I1219" s="56"/>
      <c r="J1219" s="56"/>
      <c r="K1219" s="56"/>
      <c r="L1219" s="56"/>
      <c r="M1219" s="56"/>
      <c r="N1219" s="56"/>
      <c r="O1219" s="56"/>
      <c r="P1219" s="56"/>
      <c r="Q1219" s="56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</row>
    <row r="1220" ht="21.0" customHeight="1">
      <c r="A1220" s="55"/>
      <c r="B1220" s="60"/>
      <c r="C1220" s="60"/>
      <c r="D1220" s="57"/>
      <c r="E1220" s="57"/>
      <c r="F1220" s="56"/>
      <c r="G1220" s="56"/>
      <c r="H1220" s="56"/>
      <c r="I1220" s="56"/>
      <c r="J1220" s="56"/>
      <c r="K1220" s="56"/>
      <c r="L1220" s="56"/>
      <c r="M1220" s="56"/>
      <c r="N1220" s="56"/>
      <c r="O1220" s="56"/>
      <c r="P1220" s="56"/>
      <c r="Q1220" s="56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</row>
    <row r="1221" ht="21.0" customHeight="1">
      <c r="A1221" s="55"/>
      <c r="B1221" s="60"/>
      <c r="C1221" s="60"/>
      <c r="D1221" s="57"/>
      <c r="E1221" s="57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</row>
    <row r="1222" ht="21.0" customHeight="1">
      <c r="A1222" s="55"/>
      <c r="B1222" s="60"/>
      <c r="C1222" s="60"/>
      <c r="D1222" s="57"/>
      <c r="E1222" s="57"/>
      <c r="F1222" s="56"/>
      <c r="G1222" s="56"/>
      <c r="H1222" s="56"/>
      <c r="I1222" s="56"/>
      <c r="J1222" s="56"/>
      <c r="K1222" s="56"/>
      <c r="L1222" s="56"/>
      <c r="M1222" s="56"/>
      <c r="N1222" s="56"/>
      <c r="O1222" s="56"/>
      <c r="P1222" s="56"/>
      <c r="Q1222" s="56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</row>
    <row r="1223" ht="21.0" customHeight="1">
      <c r="A1223" s="55"/>
      <c r="B1223" s="60"/>
      <c r="C1223" s="60"/>
      <c r="D1223" s="57"/>
      <c r="E1223" s="57"/>
      <c r="F1223" s="56"/>
      <c r="G1223" s="56"/>
      <c r="H1223" s="56"/>
      <c r="I1223" s="56"/>
      <c r="J1223" s="56"/>
      <c r="K1223" s="56"/>
      <c r="L1223" s="56"/>
      <c r="M1223" s="56"/>
      <c r="N1223" s="56"/>
      <c r="O1223" s="56"/>
      <c r="P1223" s="56"/>
      <c r="Q1223" s="56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</row>
    <row r="1224" ht="21.0" customHeight="1">
      <c r="A1224" s="55"/>
      <c r="B1224" s="60"/>
      <c r="C1224" s="60"/>
      <c r="D1224" s="57"/>
      <c r="E1224" s="57"/>
      <c r="F1224" s="56"/>
      <c r="G1224" s="56"/>
      <c r="H1224" s="56"/>
      <c r="I1224" s="56"/>
      <c r="J1224" s="56"/>
      <c r="K1224" s="56"/>
      <c r="L1224" s="56"/>
      <c r="M1224" s="56"/>
      <c r="N1224" s="56"/>
      <c r="O1224" s="56"/>
      <c r="P1224" s="56"/>
      <c r="Q1224" s="56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</row>
    <row r="1225" ht="21.0" customHeight="1">
      <c r="A1225" s="55"/>
      <c r="B1225" s="60"/>
      <c r="C1225" s="60"/>
      <c r="D1225" s="57"/>
      <c r="E1225" s="57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</row>
    <row r="1226" ht="21.0" customHeight="1">
      <c r="A1226" s="55"/>
      <c r="B1226" s="60"/>
      <c r="C1226" s="60"/>
      <c r="D1226" s="57"/>
      <c r="E1226" s="57"/>
      <c r="F1226" s="56"/>
      <c r="G1226" s="56"/>
      <c r="H1226" s="56"/>
      <c r="I1226" s="56"/>
      <c r="J1226" s="56"/>
      <c r="K1226" s="56"/>
      <c r="L1226" s="56"/>
      <c r="M1226" s="56"/>
      <c r="N1226" s="56"/>
      <c r="O1226" s="56"/>
      <c r="P1226" s="56"/>
      <c r="Q1226" s="56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</row>
    <row r="1227" ht="21.0" customHeight="1">
      <c r="A1227" s="55"/>
      <c r="B1227" s="60"/>
      <c r="C1227" s="60"/>
      <c r="D1227" s="57"/>
      <c r="E1227" s="57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</row>
    <row r="1228" ht="21.0" customHeight="1">
      <c r="A1228" s="55"/>
      <c r="B1228" s="60"/>
      <c r="C1228" s="60"/>
      <c r="D1228" s="57"/>
      <c r="E1228" s="57"/>
      <c r="F1228" s="56"/>
      <c r="G1228" s="56"/>
      <c r="H1228" s="56"/>
      <c r="I1228" s="56"/>
      <c r="J1228" s="56"/>
      <c r="K1228" s="56"/>
      <c r="L1228" s="56"/>
      <c r="M1228" s="56"/>
      <c r="N1228" s="56"/>
      <c r="O1228" s="56"/>
      <c r="P1228" s="56"/>
      <c r="Q1228" s="56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</row>
    <row r="1229" ht="21.0" customHeight="1">
      <c r="A1229" s="55"/>
      <c r="B1229" s="60"/>
      <c r="C1229" s="60"/>
      <c r="D1229" s="57"/>
      <c r="E1229" s="57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</row>
    <row r="1230" ht="21.0" customHeight="1">
      <c r="A1230" s="55"/>
      <c r="B1230" s="60"/>
      <c r="C1230" s="60"/>
      <c r="D1230" s="57"/>
      <c r="E1230" s="57"/>
      <c r="F1230" s="56"/>
      <c r="G1230" s="56"/>
      <c r="H1230" s="56"/>
      <c r="I1230" s="56"/>
      <c r="J1230" s="56"/>
      <c r="K1230" s="56"/>
      <c r="L1230" s="56"/>
      <c r="M1230" s="56"/>
      <c r="N1230" s="56"/>
      <c r="O1230" s="56"/>
      <c r="P1230" s="56"/>
      <c r="Q1230" s="56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</row>
    <row r="1231" ht="21.0" customHeight="1">
      <c r="A1231" s="55"/>
      <c r="B1231" s="60"/>
      <c r="C1231" s="60"/>
      <c r="D1231" s="57"/>
      <c r="E1231" s="57"/>
      <c r="F1231" s="56"/>
      <c r="G1231" s="56"/>
      <c r="H1231" s="56"/>
      <c r="I1231" s="56"/>
      <c r="J1231" s="56"/>
      <c r="K1231" s="56"/>
      <c r="L1231" s="56"/>
      <c r="M1231" s="56"/>
      <c r="N1231" s="56"/>
      <c r="O1231" s="56"/>
      <c r="P1231" s="56"/>
      <c r="Q1231" s="56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</row>
    <row r="1232" ht="21.0" customHeight="1">
      <c r="A1232" s="55"/>
      <c r="B1232" s="60"/>
      <c r="C1232" s="60"/>
      <c r="D1232" s="57"/>
      <c r="E1232" s="57"/>
      <c r="F1232" s="56"/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</row>
    <row r="1233" ht="21.0" customHeight="1">
      <c r="A1233" s="55"/>
      <c r="B1233" s="60"/>
      <c r="C1233" s="60"/>
      <c r="D1233" s="57"/>
      <c r="E1233" s="57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</row>
    <row r="1234" ht="21.0" customHeight="1">
      <c r="A1234" s="55"/>
      <c r="B1234" s="60"/>
      <c r="C1234" s="60"/>
      <c r="D1234" s="57"/>
      <c r="E1234" s="57"/>
      <c r="F1234" s="56"/>
      <c r="G1234" s="56"/>
      <c r="H1234" s="56"/>
      <c r="I1234" s="56"/>
      <c r="J1234" s="56"/>
      <c r="K1234" s="56"/>
      <c r="L1234" s="56"/>
      <c r="M1234" s="56"/>
      <c r="N1234" s="56"/>
      <c r="O1234" s="56"/>
      <c r="P1234" s="56"/>
      <c r="Q1234" s="56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</row>
    <row r="1235" ht="21.0" customHeight="1">
      <c r="A1235" s="55"/>
      <c r="B1235" s="60"/>
      <c r="C1235" s="60"/>
      <c r="D1235" s="57"/>
      <c r="E1235" s="57"/>
      <c r="F1235" s="56"/>
      <c r="G1235" s="56"/>
      <c r="H1235" s="56"/>
      <c r="I1235" s="56"/>
      <c r="J1235" s="56"/>
      <c r="K1235" s="56"/>
      <c r="L1235" s="56"/>
      <c r="M1235" s="56"/>
      <c r="N1235" s="56"/>
      <c r="O1235" s="56"/>
      <c r="P1235" s="56"/>
      <c r="Q1235" s="56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</row>
    <row r="1236" ht="21.0" customHeight="1">
      <c r="A1236" s="55"/>
      <c r="B1236" s="60"/>
      <c r="C1236" s="60"/>
      <c r="D1236" s="57"/>
      <c r="E1236" s="57"/>
      <c r="F1236" s="56"/>
      <c r="G1236" s="56"/>
      <c r="H1236" s="56"/>
      <c r="I1236" s="56"/>
      <c r="J1236" s="56"/>
      <c r="K1236" s="56"/>
      <c r="L1236" s="56"/>
      <c r="M1236" s="56"/>
      <c r="N1236" s="56"/>
      <c r="O1236" s="56"/>
      <c r="P1236" s="56"/>
      <c r="Q1236" s="56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</row>
    <row r="1237" ht="21.0" customHeight="1">
      <c r="A1237" s="55"/>
      <c r="B1237" s="60"/>
      <c r="C1237" s="60"/>
      <c r="D1237" s="57"/>
      <c r="E1237" s="57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</row>
    <row r="1238" ht="21.0" customHeight="1">
      <c r="A1238" s="55"/>
      <c r="B1238" s="60"/>
      <c r="C1238" s="60"/>
      <c r="D1238" s="57"/>
      <c r="E1238" s="57"/>
      <c r="F1238" s="56"/>
      <c r="G1238" s="56"/>
      <c r="H1238" s="56"/>
      <c r="I1238" s="56"/>
      <c r="J1238" s="56"/>
      <c r="K1238" s="56"/>
      <c r="L1238" s="56"/>
      <c r="M1238" s="56"/>
      <c r="N1238" s="56"/>
      <c r="O1238" s="56"/>
      <c r="P1238" s="56"/>
      <c r="Q1238" s="56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</row>
    <row r="1239" ht="21.0" customHeight="1">
      <c r="A1239" s="55"/>
      <c r="B1239" s="60"/>
      <c r="C1239" s="60"/>
      <c r="D1239" s="57"/>
      <c r="E1239" s="57"/>
      <c r="F1239" s="56"/>
      <c r="G1239" s="56"/>
      <c r="H1239" s="56"/>
      <c r="I1239" s="56"/>
      <c r="J1239" s="56"/>
      <c r="K1239" s="56"/>
      <c r="L1239" s="56"/>
      <c r="M1239" s="56"/>
      <c r="N1239" s="56"/>
      <c r="O1239" s="56"/>
      <c r="P1239" s="56"/>
      <c r="Q1239" s="56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</row>
    <row r="1240" ht="21.0" customHeight="1">
      <c r="A1240" s="55"/>
      <c r="B1240" s="60"/>
      <c r="C1240" s="60"/>
      <c r="D1240" s="57"/>
      <c r="E1240" s="57"/>
      <c r="F1240" s="56"/>
      <c r="G1240" s="56"/>
      <c r="H1240" s="56"/>
      <c r="I1240" s="56"/>
      <c r="J1240" s="56"/>
      <c r="K1240" s="56"/>
      <c r="L1240" s="56"/>
      <c r="M1240" s="56"/>
      <c r="N1240" s="56"/>
      <c r="O1240" s="56"/>
      <c r="P1240" s="56"/>
      <c r="Q1240" s="56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</row>
    <row r="1241" ht="21.0" customHeight="1">
      <c r="A1241" s="55"/>
      <c r="B1241" s="60"/>
      <c r="C1241" s="60"/>
      <c r="D1241" s="57"/>
      <c r="E1241" s="57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</row>
    <row r="1242" ht="21.0" customHeight="1">
      <c r="A1242" s="55"/>
      <c r="B1242" s="60"/>
      <c r="C1242" s="60"/>
      <c r="D1242" s="57"/>
      <c r="E1242" s="57"/>
      <c r="F1242" s="56"/>
      <c r="G1242" s="56"/>
      <c r="H1242" s="56"/>
      <c r="I1242" s="56"/>
      <c r="J1242" s="56"/>
      <c r="K1242" s="56"/>
      <c r="L1242" s="56"/>
      <c r="M1242" s="56"/>
      <c r="N1242" s="56"/>
      <c r="O1242" s="56"/>
      <c r="P1242" s="56"/>
      <c r="Q1242" s="56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</row>
    <row r="1243" ht="21.0" customHeight="1">
      <c r="A1243" s="55"/>
      <c r="B1243" s="60"/>
      <c r="C1243" s="60"/>
      <c r="D1243" s="57"/>
      <c r="E1243" s="57"/>
      <c r="F1243" s="56"/>
      <c r="G1243" s="56"/>
      <c r="H1243" s="56"/>
      <c r="I1243" s="56"/>
      <c r="J1243" s="56"/>
      <c r="K1243" s="56"/>
      <c r="L1243" s="56"/>
      <c r="M1243" s="56"/>
      <c r="N1243" s="56"/>
      <c r="O1243" s="56"/>
      <c r="P1243" s="56"/>
      <c r="Q1243" s="56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</row>
    <row r="1244" ht="21.0" customHeight="1">
      <c r="A1244" s="55"/>
      <c r="B1244" s="60"/>
      <c r="C1244" s="60"/>
      <c r="D1244" s="57"/>
      <c r="E1244" s="57"/>
      <c r="F1244" s="56"/>
      <c r="G1244" s="56"/>
      <c r="H1244" s="56"/>
      <c r="I1244" s="56"/>
      <c r="J1244" s="56"/>
      <c r="K1244" s="56"/>
      <c r="L1244" s="56"/>
      <c r="M1244" s="56"/>
      <c r="N1244" s="56"/>
      <c r="O1244" s="56"/>
      <c r="P1244" s="56"/>
      <c r="Q1244" s="56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</row>
    <row r="1245" ht="21.0" customHeight="1">
      <c r="A1245" s="55"/>
      <c r="B1245" s="60"/>
      <c r="C1245" s="60"/>
      <c r="D1245" s="57"/>
      <c r="E1245" s="57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</row>
    <row r="1246" ht="21.0" customHeight="1">
      <c r="A1246" s="55"/>
      <c r="B1246" s="60"/>
      <c r="C1246" s="60"/>
      <c r="D1246" s="57"/>
      <c r="E1246" s="57"/>
      <c r="F1246" s="56"/>
      <c r="G1246" s="56"/>
      <c r="H1246" s="56"/>
      <c r="I1246" s="56"/>
      <c r="J1246" s="56"/>
      <c r="K1246" s="56"/>
      <c r="L1246" s="56"/>
      <c r="M1246" s="56"/>
      <c r="N1246" s="56"/>
      <c r="O1246" s="56"/>
      <c r="P1246" s="56"/>
      <c r="Q1246" s="56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</row>
    <row r="1247" ht="21.0" customHeight="1">
      <c r="A1247" s="55"/>
      <c r="B1247" s="60"/>
      <c r="C1247" s="60"/>
      <c r="D1247" s="57"/>
      <c r="E1247" s="57"/>
      <c r="F1247" s="56"/>
      <c r="G1247" s="56"/>
      <c r="H1247" s="56"/>
      <c r="I1247" s="56"/>
      <c r="J1247" s="56"/>
      <c r="K1247" s="56"/>
      <c r="L1247" s="56"/>
      <c r="M1247" s="56"/>
      <c r="N1247" s="56"/>
      <c r="O1247" s="56"/>
      <c r="P1247" s="56"/>
      <c r="Q1247" s="56"/>
      <c r="R1247" s="56"/>
      <c r="S1247" s="56"/>
      <c r="T1247" s="56"/>
      <c r="U1247" s="56"/>
      <c r="V1247" s="56"/>
      <c r="W1247" s="56"/>
      <c r="X1247" s="56"/>
      <c r="Y1247" s="56"/>
      <c r="Z1247" s="56"/>
      <c r="AA1247" s="56"/>
      <c r="AB1247" s="56"/>
    </row>
    <row r="1248" ht="21.0" customHeight="1">
      <c r="A1248" s="55"/>
      <c r="B1248" s="60"/>
      <c r="C1248" s="60"/>
      <c r="D1248" s="57"/>
      <c r="E1248" s="57"/>
      <c r="F1248" s="56"/>
      <c r="G1248" s="56"/>
      <c r="H1248" s="56"/>
      <c r="I1248" s="56"/>
      <c r="J1248" s="56"/>
      <c r="K1248" s="56"/>
      <c r="L1248" s="56"/>
      <c r="M1248" s="56"/>
      <c r="N1248" s="56"/>
      <c r="O1248" s="56"/>
      <c r="P1248" s="56"/>
      <c r="Q1248" s="56"/>
      <c r="R1248" s="56"/>
      <c r="S1248" s="56"/>
      <c r="T1248" s="56"/>
      <c r="U1248" s="56"/>
      <c r="V1248" s="56"/>
      <c r="W1248" s="56"/>
      <c r="X1248" s="56"/>
      <c r="Y1248" s="56"/>
      <c r="Z1248" s="56"/>
      <c r="AA1248" s="56"/>
      <c r="AB1248" s="56"/>
    </row>
    <row r="1249" ht="21.0" customHeight="1">
      <c r="A1249" s="55"/>
      <c r="B1249" s="60"/>
      <c r="C1249" s="60"/>
      <c r="D1249" s="57"/>
      <c r="E1249" s="57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  <c r="S1249" s="56"/>
      <c r="T1249" s="56"/>
      <c r="U1249" s="56"/>
      <c r="V1249" s="56"/>
      <c r="W1249" s="56"/>
      <c r="X1249" s="56"/>
      <c r="Y1249" s="56"/>
      <c r="Z1249" s="56"/>
      <c r="AA1249" s="56"/>
      <c r="AB1249" s="56"/>
    </row>
    <row r="1250" ht="21.0" customHeight="1">
      <c r="A1250" s="55"/>
      <c r="B1250" s="60"/>
      <c r="C1250" s="60"/>
      <c r="D1250" s="57"/>
      <c r="E1250" s="57"/>
      <c r="F1250" s="56"/>
      <c r="G1250" s="56"/>
      <c r="H1250" s="56"/>
      <c r="I1250" s="56"/>
      <c r="J1250" s="56"/>
      <c r="K1250" s="56"/>
      <c r="L1250" s="56"/>
      <c r="M1250" s="56"/>
      <c r="N1250" s="56"/>
      <c r="O1250" s="56"/>
      <c r="P1250" s="56"/>
      <c r="Q1250" s="56"/>
      <c r="R1250" s="56"/>
      <c r="S1250" s="56"/>
      <c r="T1250" s="56"/>
      <c r="U1250" s="56"/>
      <c r="V1250" s="56"/>
      <c r="W1250" s="56"/>
      <c r="X1250" s="56"/>
      <c r="Y1250" s="56"/>
      <c r="Z1250" s="56"/>
      <c r="AA1250" s="56"/>
      <c r="AB1250" s="56"/>
    </row>
    <row r="1251" ht="21.0" customHeight="1">
      <c r="A1251" s="55"/>
      <c r="B1251" s="60"/>
      <c r="C1251" s="60"/>
      <c r="D1251" s="57"/>
      <c r="E1251" s="57"/>
      <c r="F1251" s="56"/>
      <c r="G1251" s="56"/>
      <c r="H1251" s="56"/>
      <c r="I1251" s="56"/>
      <c r="J1251" s="56"/>
      <c r="K1251" s="56"/>
      <c r="L1251" s="56"/>
      <c r="M1251" s="56"/>
      <c r="N1251" s="56"/>
      <c r="O1251" s="56"/>
      <c r="P1251" s="56"/>
      <c r="Q1251" s="56"/>
      <c r="R1251" s="56"/>
      <c r="S1251" s="56"/>
      <c r="T1251" s="56"/>
      <c r="U1251" s="56"/>
      <c r="V1251" s="56"/>
      <c r="W1251" s="56"/>
      <c r="X1251" s="56"/>
      <c r="Y1251" s="56"/>
      <c r="Z1251" s="56"/>
      <c r="AA1251" s="56"/>
      <c r="AB1251" s="56"/>
    </row>
    <row r="1252" ht="21.0" customHeight="1">
      <c r="A1252" s="55"/>
      <c r="B1252" s="60"/>
      <c r="C1252" s="60"/>
      <c r="D1252" s="57"/>
      <c r="E1252" s="57"/>
      <c r="F1252" s="56"/>
      <c r="G1252" s="56"/>
      <c r="H1252" s="56"/>
      <c r="I1252" s="56"/>
      <c r="J1252" s="56"/>
      <c r="K1252" s="56"/>
      <c r="L1252" s="56"/>
      <c r="M1252" s="56"/>
      <c r="N1252" s="56"/>
      <c r="O1252" s="56"/>
      <c r="P1252" s="56"/>
      <c r="Q1252" s="56"/>
      <c r="R1252" s="56"/>
      <c r="S1252" s="56"/>
      <c r="T1252" s="56"/>
      <c r="U1252" s="56"/>
      <c r="V1252" s="56"/>
      <c r="W1252" s="56"/>
      <c r="X1252" s="56"/>
      <c r="Y1252" s="56"/>
      <c r="Z1252" s="56"/>
      <c r="AA1252" s="56"/>
      <c r="AB1252" s="56"/>
    </row>
    <row r="1253" ht="21.0" customHeight="1">
      <c r="A1253" s="55"/>
      <c r="B1253" s="60"/>
      <c r="C1253" s="60"/>
      <c r="D1253" s="57"/>
      <c r="E1253" s="57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  <c r="S1253" s="56"/>
      <c r="T1253" s="56"/>
      <c r="U1253" s="56"/>
      <c r="V1253" s="56"/>
      <c r="W1253" s="56"/>
      <c r="X1253" s="56"/>
      <c r="Y1253" s="56"/>
      <c r="Z1253" s="56"/>
      <c r="AA1253" s="56"/>
      <c r="AB1253" s="56"/>
    </row>
    <row r="1254" ht="21.0" customHeight="1">
      <c r="A1254" s="55"/>
      <c r="B1254" s="60"/>
      <c r="C1254" s="60"/>
      <c r="D1254" s="57"/>
      <c r="E1254" s="57"/>
      <c r="F1254" s="56"/>
      <c r="G1254" s="56"/>
      <c r="H1254" s="56"/>
      <c r="I1254" s="56"/>
      <c r="J1254" s="56"/>
      <c r="K1254" s="56"/>
      <c r="L1254" s="56"/>
      <c r="M1254" s="56"/>
      <c r="N1254" s="56"/>
      <c r="O1254" s="56"/>
      <c r="P1254" s="56"/>
      <c r="Q1254" s="56"/>
      <c r="R1254" s="56"/>
      <c r="S1254" s="56"/>
      <c r="T1254" s="56"/>
      <c r="U1254" s="56"/>
      <c r="V1254" s="56"/>
      <c r="W1254" s="56"/>
      <c r="X1254" s="56"/>
      <c r="Y1254" s="56"/>
      <c r="Z1254" s="56"/>
      <c r="AA1254" s="56"/>
      <c r="AB1254" s="56"/>
    </row>
    <row r="1255" ht="21.0" customHeight="1">
      <c r="A1255" s="55"/>
      <c r="B1255" s="60"/>
      <c r="C1255" s="60"/>
      <c r="D1255" s="57"/>
      <c r="E1255" s="57"/>
      <c r="F1255" s="56"/>
      <c r="G1255" s="56"/>
      <c r="H1255" s="56"/>
      <c r="I1255" s="56"/>
      <c r="J1255" s="56"/>
      <c r="K1255" s="56"/>
      <c r="L1255" s="56"/>
      <c r="M1255" s="56"/>
      <c r="N1255" s="56"/>
      <c r="O1255" s="56"/>
      <c r="P1255" s="56"/>
      <c r="Q1255" s="56"/>
      <c r="R1255" s="56"/>
      <c r="S1255" s="56"/>
      <c r="T1255" s="56"/>
      <c r="U1255" s="56"/>
      <c r="V1255" s="56"/>
      <c r="W1255" s="56"/>
      <c r="X1255" s="56"/>
      <c r="Y1255" s="56"/>
      <c r="Z1255" s="56"/>
      <c r="AA1255" s="56"/>
      <c r="AB1255" s="56"/>
    </row>
    <row r="1256" ht="21.0" customHeight="1">
      <c r="A1256" s="55"/>
      <c r="B1256" s="60"/>
      <c r="C1256" s="60"/>
      <c r="D1256" s="57"/>
      <c r="E1256" s="57"/>
      <c r="F1256" s="56"/>
      <c r="G1256" s="56"/>
      <c r="H1256" s="56"/>
      <c r="I1256" s="56"/>
      <c r="J1256" s="56"/>
      <c r="K1256" s="56"/>
      <c r="L1256" s="56"/>
      <c r="M1256" s="56"/>
      <c r="N1256" s="56"/>
      <c r="O1256" s="56"/>
      <c r="P1256" s="56"/>
      <c r="Q1256" s="56"/>
      <c r="R1256" s="56"/>
      <c r="S1256" s="56"/>
      <c r="T1256" s="56"/>
      <c r="U1256" s="56"/>
      <c r="V1256" s="56"/>
      <c r="W1256" s="56"/>
      <c r="X1256" s="56"/>
      <c r="Y1256" s="56"/>
      <c r="Z1256" s="56"/>
      <c r="AA1256" s="56"/>
      <c r="AB1256" s="56"/>
    </row>
    <row r="1257" ht="21.0" customHeight="1">
      <c r="A1257" s="55"/>
      <c r="B1257" s="60"/>
      <c r="C1257" s="60"/>
      <c r="D1257" s="57"/>
      <c r="E1257" s="57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  <c r="S1257" s="56"/>
      <c r="T1257" s="56"/>
      <c r="U1257" s="56"/>
      <c r="V1257" s="56"/>
      <c r="W1257" s="56"/>
      <c r="X1257" s="56"/>
      <c r="Y1257" s="56"/>
      <c r="Z1257" s="56"/>
      <c r="AA1257" s="56"/>
      <c r="AB1257" s="56"/>
    </row>
    <row r="1258" ht="21.0" customHeight="1">
      <c r="A1258" s="55"/>
      <c r="B1258" s="60"/>
      <c r="C1258" s="60"/>
      <c r="D1258" s="57"/>
      <c r="E1258" s="57"/>
      <c r="F1258" s="56"/>
      <c r="G1258" s="56"/>
      <c r="H1258" s="56"/>
      <c r="I1258" s="56"/>
      <c r="J1258" s="56"/>
      <c r="K1258" s="56"/>
      <c r="L1258" s="56"/>
      <c r="M1258" s="56"/>
      <c r="N1258" s="56"/>
      <c r="O1258" s="56"/>
      <c r="P1258" s="56"/>
      <c r="Q1258" s="56"/>
      <c r="R1258" s="56"/>
      <c r="S1258" s="56"/>
      <c r="T1258" s="56"/>
      <c r="U1258" s="56"/>
      <c r="V1258" s="56"/>
      <c r="W1258" s="56"/>
      <c r="X1258" s="56"/>
      <c r="Y1258" s="56"/>
      <c r="Z1258" s="56"/>
      <c r="AA1258" s="56"/>
      <c r="AB1258" s="56"/>
    </row>
    <row r="1259" ht="21.0" customHeight="1">
      <c r="A1259" s="55"/>
      <c r="B1259" s="60"/>
      <c r="C1259" s="60"/>
      <c r="D1259" s="57"/>
      <c r="E1259" s="57"/>
      <c r="F1259" s="56"/>
      <c r="G1259" s="56"/>
      <c r="H1259" s="56"/>
      <c r="I1259" s="56"/>
      <c r="J1259" s="56"/>
      <c r="K1259" s="56"/>
      <c r="L1259" s="56"/>
      <c r="M1259" s="56"/>
      <c r="N1259" s="56"/>
      <c r="O1259" s="56"/>
      <c r="P1259" s="56"/>
      <c r="Q1259" s="56"/>
      <c r="R1259" s="56"/>
      <c r="S1259" s="56"/>
      <c r="T1259" s="56"/>
      <c r="U1259" s="56"/>
      <c r="V1259" s="56"/>
      <c r="W1259" s="56"/>
      <c r="X1259" s="56"/>
      <c r="Y1259" s="56"/>
      <c r="Z1259" s="56"/>
      <c r="AA1259" s="56"/>
      <c r="AB1259" s="56"/>
    </row>
    <row r="1260" ht="21.0" customHeight="1">
      <c r="A1260" s="55"/>
      <c r="B1260" s="60"/>
      <c r="C1260" s="60"/>
      <c r="D1260" s="57"/>
      <c r="E1260" s="57"/>
      <c r="F1260" s="56"/>
      <c r="G1260" s="56"/>
      <c r="H1260" s="56"/>
      <c r="I1260" s="56"/>
      <c r="J1260" s="56"/>
      <c r="K1260" s="56"/>
      <c r="L1260" s="56"/>
      <c r="M1260" s="56"/>
      <c r="N1260" s="56"/>
      <c r="O1260" s="56"/>
      <c r="P1260" s="56"/>
      <c r="Q1260" s="56"/>
      <c r="R1260" s="56"/>
      <c r="S1260" s="56"/>
      <c r="T1260" s="56"/>
      <c r="U1260" s="56"/>
      <c r="V1260" s="56"/>
      <c r="W1260" s="56"/>
      <c r="X1260" s="56"/>
      <c r="Y1260" s="56"/>
      <c r="Z1260" s="56"/>
      <c r="AA1260" s="56"/>
      <c r="AB1260" s="56"/>
    </row>
    <row r="1261" ht="21.0" customHeight="1">
      <c r="A1261" s="55"/>
      <c r="B1261" s="60"/>
      <c r="C1261" s="60"/>
      <c r="D1261" s="57"/>
      <c r="E1261" s="57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  <c r="S1261" s="56"/>
      <c r="T1261" s="56"/>
      <c r="U1261" s="56"/>
      <c r="V1261" s="56"/>
      <c r="W1261" s="56"/>
      <c r="X1261" s="56"/>
      <c r="Y1261" s="56"/>
      <c r="Z1261" s="56"/>
      <c r="AA1261" s="56"/>
      <c r="AB1261" s="56"/>
    </row>
    <row r="1262" ht="21.0" customHeight="1">
      <c r="A1262" s="55"/>
      <c r="B1262" s="60"/>
      <c r="C1262" s="60"/>
      <c r="D1262" s="57"/>
      <c r="E1262" s="57"/>
      <c r="F1262" s="56"/>
      <c r="G1262" s="56"/>
      <c r="H1262" s="56"/>
      <c r="I1262" s="56"/>
      <c r="J1262" s="56"/>
      <c r="K1262" s="56"/>
      <c r="L1262" s="56"/>
      <c r="M1262" s="56"/>
      <c r="N1262" s="56"/>
      <c r="O1262" s="56"/>
      <c r="P1262" s="56"/>
      <c r="Q1262" s="56"/>
      <c r="R1262" s="56"/>
      <c r="S1262" s="56"/>
      <c r="T1262" s="56"/>
      <c r="U1262" s="56"/>
      <c r="V1262" s="56"/>
      <c r="W1262" s="56"/>
      <c r="X1262" s="56"/>
      <c r="Y1262" s="56"/>
      <c r="Z1262" s="56"/>
      <c r="AA1262" s="56"/>
      <c r="AB1262" s="56"/>
    </row>
    <row r="1263" ht="21.0" customHeight="1">
      <c r="A1263" s="55"/>
      <c r="B1263" s="60"/>
      <c r="C1263" s="60"/>
      <c r="D1263" s="57"/>
      <c r="E1263" s="57"/>
      <c r="F1263" s="56"/>
      <c r="G1263" s="56"/>
      <c r="H1263" s="56"/>
      <c r="I1263" s="56"/>
      <c r="J1263" s="56"/>
      <c r="K1263" s="56"/>
      <c r="L1263" s="56"/>
      <c r="M1263" s="56"/>
      <c r="N1263" s="56"/>
      <c r="O1263" s="56"/>
      <c r="P1263" s="56"/>
      <c r="Q1263" s="56"/>
      <c r="R1263" s="56"/>
      <c r="S1263" s="56"/>
      <c r="T1263" s="56"/>
      <c r="U1263" s="56"/>
      <c r="V1263" s="56"/>
      <c r="W1263" s="56"/>
      <c r="X1263" s="56"/>
      <c r="Y1263" s="56"/>
      <c r="Z1263" s="56"/>
      <c r="AA1263" s="56"/>
      <c r="AB1263" s="56"/>
    </row>
    <row r="1264" ht="21.0" customHeight="1">
      <c r="A1264" s="55"/>
      <c r="B1264" s="60"/>
      <c r="C1264" s="60"/>
      <c r="D1264" s="57"/>
      <c r="E1264" s="57"/>
      <c r="F1264" s="56"/>
      <c r="G1264" s="56"/>
      <c r="H1264" s="56"/>
      <c r="I1264" s="56"/>
      <c r="J1264" s="56"/>
      <c r="K1264" s="56"/>
      <c r="L1264" s="56"/>
      <c r="M1264" s="56"/>
      <c r="N1264" s="56"/>
      <c r="O1264" s="56"/>
      <c r="P1264" s="56"/>
      <c r="Q1264" s="56"/>
      <c r="R1264" s="56"/>
      <c r="S1264" s="56"/>
      <c r="T1264" s="56"/>
      <c r="U1264" s="56"/>
      <c r="V1264" s="56"/>
      <c r="W1264" s="56"/>
      <c r="X1264" s="56"/>
      <c r="Y1264" s="56"/>
      <c r="Z1264" s="56"/>
      <c r="AA1264" s="56"/>
      <c r="AB1264" s="56"/>
    </row>
    <row r="1265" ht="21.0" customHeight="1">
      <c r="A1265" s="55"/>
      <c r="B1265" s="60"/>
      <c r="C1265" s="60"/>
      <c r="D1265" s="57"/>
      <c r="E1265" s="57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  <c r="S1265" s="56"/>
      <c r="T1265" s="56"/>
      <c r="U1265" s="56"/>
      <c r="V1265" s="56"/>
      <c r="W1265" s="56"/>
      <c r="X1265" s="56"/>
      <c r="Y1265" s="56"/>
      <c r="Z1265" s="56"/>
      <c r="AA1265" s="56"/>
      <c r="AB1265" s="56"/>
    </row>
    <row r="1266" ht="21.0" customHeight="1">
      <c r="A1266" s="55"/>
      <c r="B1266" s="60"/>
      <c r="C1266" s="60"/>
      <c r="D1266" s="57"/>
      <c r="E1266" s="57"/>
      <c r="F1266" s="56"/>
      <c r="G1266" s="56"/>
      <c r="H1266" s="56"/>
      <c r="I1266" s="56"/>
      <c r="J1266" s="56"/>
      <c r="K1266" s="56"/>
      <c r="L1266" s="56"/>
      <c r="M1266" s="56"/>
      <c r="N1266" s="56"/>
      <c r="O1266" s="56"/>
      <c r="P1266" s="56"/>
      <c r="Q1266" s="56"/>
      <c r="R1266" s="56"/>
      <c r="S1266" s="56"/>
      <c r="T1266" s="56"/>
      <c r="U1266" s="56"/>
      <c r="V1266" s="56"/>
      <c r="W1266" s="56"/>
      <c r="X1266" s="56"/>
      <c r="Y1266" s="56"/>
      <c r="Z1266" s="56"/>
      <c r="AA1266" s="56"/>
      <c r="AB1266" s="56"/>
    </row>
    <row r="1267" ht="21.0" customHeight="1">
      <c r="A1267" s="55"/>
      <c r="B1267" s="60"/>
      <c r="C1267" s="60"/>
      <c r="D1267" s="57"/>
      <c r="E1267" s="57"/>
      <c r="F1267" s="56"/>
      <c r="G1267" s="56"/>
      <c r="H1267" s="56"/>
      <c r="I1267" s="56"/>
      <c r="J1267" s="56"/>
      <c r="K1267" s="56"/>
      <c r="L1267" s="56"/>
      <c r="M1267" s="56"/>
      <c r="N1267" s="56"/>
      <c r="O1267" s="56"/>
      <c r="P1267" s="56"/>
      <c r="Q1267" s="56"/>
      <c r="R1267" s="56"/>
      <c r="S1267" s="56"/>
      <c r="T1267" s="56"/>
      <c r="U1267" s="56"/>
      <c r="V1267" s="56"/>
      <c r="W1267" s="56"/>
      <c r="X1267" s="56"/>
      <c r="Y1267" s="56"/>
      <c r="Z1267" s="56"/>
      <c r="AA1267" s="56"/>
      <c r="AB1267" s="56"/>
    </row>
    <row r="1268" ht="21.0" customHeight="1">
      <c r="A1268" s="55"/>
      <c r="B1268" s="60"/>
      <c r="C1268" s="60"/>
      <c r="D1268" s="57"/>
      <c r="E1268" s="57"/>
      <c r="F1268" s="56"/>
      <c r="G1268" s="56"/>
      <c r="H1268" s="56"/>
      <c r="I1268" s="56"/>
      <c r="J1268" s="56"/>
      <c r="K1268" s="56"/>
      <c r="L1268" s="56"/>
      <c r="M1268" s="56"/>
      <c r="N1268" s="56"/>
      <c r="O1268" s="56"/>
      <c r="P1268" s="56"/>
      <c r="Q1268" s="56"/>
      <c r="R1268" s="56"/>
      <c r="S1268" s="56"/>
      <c r="T1268" s="56"/>
      <c r="U1268" s="56"/>
      <c r="V1268" s="56"/>
      <c r="W1268" s="56"/>
      <c r="X1268" s="56"/>
      <c r="Y1268" s="56"/>
      <c r="Z1268" s="56"/>
      <c r="AA1268" s="56"/>
      <c r="AB1268" s="56"/>
    </row>
    <row r="1269" ht="21.0" customHeight="1">
      <c r="A1269" s="55"/>
      <c r="B1269" s="60"/>
      <c r="C1269" s="60"/>
      <c r="D1269" s="57"/>
      <c r="E1269" s="57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  <c r="S1269" s="56"/>
      <c r="T1269" s="56"/>
      <c r="U1269" s="56"/>
      <c r="V1269" s="56"/>
      <c r="W1269" s="56"/>
      <c r="X1269" s="56"/>
      <c r="Y1269" s="56"/>
      <c r="Z1269" s="56"/>
      <c r="AA1269" s="56"/>
      <c r="AB1269" s="56"/>
    </row>
    <row r="1270" ht="21.0" customHeight="1">
      <c r="A1270" s="55"/>
      <c r="B1270" s="60"/>
      <c r="C1270" s="60"/>
      <c r="D1270" s="57"/>
      <c r="E1270" s="57"/>
      <c r="F1270" s="56"/>
      <c r="G1270" s="56"/>
      <c r="H1270" s="56"/>
      <c r="I1270" s="56"/>
      <c r="J1270" s="56"/>
      <c r="K1270" s="56"/>
      <c r="L1270" s="56"/>
      <c r="M1270" s="56"/>
      <c r="N1270" s="56"/>
      <c r="O1270" s="56"/>
      <c r="P1270" s="56"/>
      <c r="Q1270" s="56"/>
      <c r="R1270" s="56"/>
      <c r="S1270" s="56"/>
      <c r="T1270" s="56"/>
      <c r="U1270" s="56"/>
      <c r="V1270" s="56"/>
      <c r="W1270" s="56"/>
      <c r="X1270" s="56"/>
      <c r="Y1270" s="56"/>
      <c r="Z1270" s="56"/>
      <c r="AA1270" s="56"/>
      <c r="AB1270" s="56"/>
    </row>
    <row r="1271" ht="21.0" customHeight="1">
      <c r="A1271" s="55"/>
      <c r="B1271" s="60"/>
      <c r="C1271" s="60"/>
      <c r="D1271" s="57"/>
      <c r="E1271" s="57"/>
      <c r="F1271" s="56"/>
      <c r="G1271" s="56"/>
      <c r="H1271" s="56"/>
      <c r="I1271" s="56"/>
      <c r="J1271" s="56"/>
      <c r="K1271" s="56"/>
      <c r="L1271" s="56"/>
      <c r="M1271" s="56"/>
      <c r="N1271" s="56"/>
      <c r="O1271" s="56"/>
      <c r="P1271" s="56"/>
      <c r="Q1271" s="56"/>
      <c r="R1271" s="56"/>
      <c r="S1271" s="56"/>
      <c r="T1271" s="56"/>
      <c r="U1271" s="56"/>
      <c r="V1271" s="56"/>
      <c r="W1271" s="56"/>
      <c r="X1271" s="56"/>
      <c r="Y1271" s="56"/>
      <c r="Z1271" s="56"/>
      <c r="AA1271" s="56"/>
      <c r="AB1271" s="56"/>
    </row>
    <row r="1272" ht="21.0" customHeight="1">
      <c r="A1272" s="55"/>
      <c r="B1272" s="60"/>
      <c r="C1272" s="60"/>
      <c r="D1272" s="57"/>
      <c r="E1272" s="57"/>
      <c r="F1272" s="56"/>
      <c r="G1272" s="56"/>
      <c r="H1272" s="56"/>
      <c r="I1272" s="56"/>
      <c r="J1272" s="56"/>
      <c r="K1272" s="56"/>
      <c r="L1272" s="56"/>
      <c r="M1272" s="56"/>
      <c r="N1272" s="56"/>
      <c r="O1272" s="56"/>
      <c r="P1272" s="56"/>
      <c r="Q1272" s="56"/>
      <c r="R1272" s="56"/>
      <c r="S1272" s="56"/>
      <c r="T1272" s="56"/>
      <c r="U1272" s="56"/>
      <c r="V1272" s="56"/>
      <c r="W1272" s="56"/>
      <c r="X1272" s="56"/>
      <c r="Y1272" s="56"/>
      <c r="Z1272" s="56"/>
      <c r="AA1272" s="56"/>
      <c r="AB1272" s="56"/>
    </row>
    <row r="1273" ht="21.0" customHeight="1">
      <c r="A1273" s="55"/>
      <c r="B1273" s="60"/>
      <c r="C1273" s="60"/>
      <c r="D1273" s="57"/>
      <c r="E1273" s="57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  <c r="S1273" s="56"/>
      <c r="T1273" s="56"/>
      <c r="U1273" s="56"/>
      <c r="V1273" s="56"/>
      <c r="W1273" s="56"/>
      <c r="X1273" s="56"/>
      <c r="Y1273" s="56"/>
      <c r="Z1273" s="56"/>
      <c r="AA1273" s="56"/>
      <c r="AB1273" s="56"/>
    </row>
    <row r="1274" ht="21.0" customHeight="1">
      <c r="A1274" s="55"/>
      <c r="B1274" s="60"/>
      <c r="C1274" s="60"/>
      <c r="D1274" s="57"/>
      <c r="E1274" s="57"/>
      <c r="F1274" s="56"/>
      <c r="G1274" s="56"/>
      <c r="H1274" s="56"/>
      <c r="I1274" s="56"/>
      <c r="J1274" s="56"/>
      <c r="K1274" s="56"/>
      <c r="L1274" s="56"/>
      <c r="M1274" s="56"/>
      <c r="N1274" s="56"/>
      <c r="O1274" s="56"/>
      <c r="P1274" s="56"/>
      <c r="Q1274" s="56"/>
      <c r="R1274" s="56"/>
      <c r="S1274" s="56"/>
      <c r="T1274" s="56"/>
      <c r="U1274" s="56"/>
      <c r="V1274" s="56"/>
      <c r="W1274" s="56"/>
      <c r="X1274" s="56"/>
      <c r="Y1274" s="56"/>
      <c r="Z1274" s="56"/>
      <c r="AA1274" s="56"/>
      <c r="AB1274" s="56"/>
    </row>
    <row r="1275" ht="21.0" customHeight="1">
      <c r="A1275" s="55"/>
      <c r="B1275" s="60"/>
      <c r="C1275" s="60"/>
      <c r="D1275" s="57"/>
      <c r="E1275" s="57"/>
      <c r="F1275" s="56"/>
      <c r="G1275" s="56"/>
      <c r="H1275" s="56"/>
      <c r="I1275" s="56"/>
      <c r="J1275" s="56"/>
      <c r="K1275" s="56"/>
      <c r="L1275" s="56"/>
      <c r="M1275" s="56"/>
      <c r="N1275" s="56"/>
      <c r="O1275" s="56"/>
      <c r="P1275" s="56"/>
      <c r="Q1275" s="56"/>
      <c r="R1275" s="56"/>
      <c r="S1275" s="56"/>
      <c r="T1275" s="56"/>
      <c r="U1275" s="56"/>
      <c r="V1275" s="56"/>
      <c r="W1275" s="56"/>
      <c r="X1275" s="56"/>
      <c r="Y1275" s="56"/>
      <c r="Z1275" s="56"/>
      <c r="AA1275" s="56"/>
      <c r="AB1275" s="56"/>
    </row>
    <row r="1276" ht="21.0" customHeight="1">
      <c r="A1276" s="55"/>
      <c r="B1276" s="60"/>
      <c r="C1276" s="60"/>
      <c r="D1276" s="57"/>
      <c r="E1276" s="57"/>
      <c r="F1276" s="56"/>
      <c r="G1276" s="56"/>
      <c r="H1276" s="56"/>
      <c r="I1276" s="56"/>
      <c r="J1276" s="56"/>
      <c r="K1276" s="56"/>
      <c r="L1276" s="56"/>
      <c r="M1276" s="56"/>
      <c r="N1276" s="56"/>
      <c r="O1276" s="56"/>
      <c r="P1276" s="56"/>
      <c r="Q1276" s="56"/>
      <c r="R1276" s="56"/>
      <c r="S1276" s="56"/>
      <c r="T1276" s="56"/>
      <c r="U1276" s="56"/>
      <c r="V1276" s="56"/>
      <c r="W1276" s="56"/>
      <c r="X1276" s="56"/>
      <c r="Y1276" s="56"/>
      <c r="Z1276" s="56"/>
      <c r="AA1276" s="56"/>
      <c r="AB1276" s="56"/>
    </row>
    <row r="1277" ht="21.0" customHeight="1">
      <c r="A1277" s="55"/>
      <c r="B1277" s="60"/>
      <c r="C1277" s="60"/>
      <c r="D1277" s="57"/>
      <c r="E1277" s="57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  <c r="S1277" s="56"/>
      <c r="T1277" s="56"/>
      <c r="U1277" s="56"/>
      <c r="V1277" s="56"/>
      <c r="W1277" s="56"/>
      <c r="X1277" s="56"/>
      <c r="Y1277" s="56"/>
      <c r="Z1277" s="56"/>
      <c r="AA1277" s="56"/>
      <c r="AB1277" s="56"/>
    </row>
    <row r="1278" ht="21.0" customHeight="1">
      <c r="A1278" s="55"/>
      <c r="B1278" s="60"/>
      <c r="C1278" s="60"/>
      <c r="D1278" s="57"/>
      <c r="E1278" s="57"/>
      <c r="F1278" s="56"/>
      <c r="G1278" s="56"/>
      <c r="H1278" s="56"/>
      <c r="I1278" s="56"/>
      <c r="J1278" s="56"/>
      <c r="K1278" s="56"/>
      <c r="L1278" s="56"/>
      <c r="M1278" s="56"/>
      <c r="N1278" s="56"/>
      <c r="O1278" s="56"/>
      <c r="P1278" s="56"/>
      <c r="Q1278" s="56"/>
      <c r="R1278" s="56"/>
      <c r="S1278" s="56"/>
      <c r="T1278" s="56"/>
      <c r="U1278" s="56"/>
      <c r="V1278" s="56"/>
      <c r="W1278" s="56"/>
      <c r="X1278" s="56"/>
      <c r="Y1278" s="56"/>
      <c r="Z1278" s="56"/>
      <c r="AA1278" s="56"/>
      <c r="AB1278" s="56"/>
    </row>
    <row r="1279" ht="21.0" customHeight="1">
      <c r="A1279" s="55"/>
      <c r="B1279" s="60"/>
      <c r="C1279" s="60"/>
      <c r="D1279" s="57"/>
      <c r="E1279" s="57"/>
      <c r="F1279" s="56"/>
      <c r="G1279" s="56"/>
      <c r="H1279" s="56"/>
      <c r="I1279" s="56"/>
      <c r="J1279" s="56"/>
      <c r="K1279" s="56"/>
      <c r="L1279" s="56"/>
      <c r="M1279" s="56"/>
      <c r="N1279" s="56"/>
      <c r="O1279" s="56"/>
      <c r="P1279" s="56"/>
      <c r="Q1279" s="56"/>
      <c r="R1279" s="56"/>
      <c r="S1279" s="56"/>
      <c r="T1279" s="56"/>
      <c r="U1279" s="56"/>
      <c r="V1279" s="56"/>
      <c r="W1279" s="56"/>
      <c r="X1279" s="56"/>
      <c r="Y1279" s="56"/>
      <c r="Z1279" s="56"/>
      <c r="AA1279" s="56"/>
      <c r="AB1279" s="56"/>
    </row>
    <row r="1280" ht="21.0" customHeight="1">
      <c r="A1280" s="55"/>
      <c r="B1280" s="60"/>
      <c r="C1280" s="60"/>
      <c r="D1280" s="57"/>
      <c r="E1280" s="57"/>
      <c r="F1280" s="56"/>
      <c r="G1280" s="56"/>
      <c r="H1280" s="56"/>
      <c r="I1280" s="56"/>
      <c r="J1280" s="56"/>
      <c r="K1280" s="56"/>
      <c r="L1280" s="56"/>
      <c r="M1280" s="56"/>
      <c r="N1280" s="56"/>
      <c r="O1280" s="56"/>
      <c r="P1280" s="56"/>
      <c r="Q1280" s="56"/>
      <c r="R1280" s="56"/>
      <c r="S1280" s="56"/>
      <c r="T1280" s="56"/>
      <c r="U1280" s="56"/>
      <c r="V1280" s="56"/>
      <c r="W1280" s="56"/>
      <c r="X1280" s="56"/>
      <c r="Y1280" s="56"/>
      <c r="Z1280" s="56"/>
      <c r="AA1280" s="56"/>
      <c r="AB1280" s="56"/>
    </row>
    <row r="1281" ht="21.0" customHeight="1">
      <c r="A1281" s="55"/>
      <c r="B1281" s="60"/>
      <c r="C1281" s="60"/>
      <c r="D1281" s="57"/>
      <c r="E1281" s="57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  <c r="S1281" s="56"/>
      <c r="T1281" s="56"/>
      <c r="U1281" s="56"/>
      <c r="V1281" s="56"/>
      <c r="W1281" s="56"/>
      <c r="X1281" s="56"/>
      <c r="Y1281" s="56"/>
      <c r="Z1281" s="56"/>
      <c r="AA1281" s="56"/>
      <c r="AB1281" s="56"/>
    </row>
    <row r="1282" ht="21.0" customHeight="1">
      <c r="A1282" s="55"/>
      <c r="B1282" s="60"/>
      <c r="C1282" s="60"/>
      <c r="D1282" s="57"/>
      <c r="E1282" s="57"/>
      <c r="F1282" s="56"/>
      <c r="G1282" s="56"/>
      <c r="H1282" s="56"/>
      <c r="I1282" s="56"/>
      <c r="J1282" s="56"/>
      <c r="K1282" s="56"/>
      <c r="L1282" s="56"/>
      <c r="M1282" s="56"/>
      <c r="N1282" s="56"/>
      <c r="O1282" s="56"/>
      <c r="P1282" s="56"/>
      <c r="Q1282" s="56"/>
      <c r="R1282" s="56"/>
      <c r="S1282" s="56"/>
      <c r="T1282" s="56"/>
      <c r="U1282" s="56"/>
      <c r="V1282" s="56"/>
      <c r="W1282" s="56"/>
      <c r="X1282" s="56"/>
      <c r="Y1282" s="56"/>
      <c r="Z1282" s="56"/>
      <c r="AA1282" s="56"/>
      <c r="AB1282" s="56"/>
    </row>
    <row r="1283" ht="21.0" customHeight="1">
      <c r="A1283" s="55"/>
      <c r="B1283" s="60"/>
      <c r="C1283" s="60"/>
      <c r="D1283" s="57"/>
      <c r="E1283" s="57"/>
      <c r="F1283" s="56"/>
      <c r="G1283" s="56"/>
      <c r="H1283" s="56"/>
      <c r="I1283" s="56"/>
      <c r="J1283" s="56"/>
      <c r="K1283" s="56"/>
      <c r="L1283" s="56"/>
      <c r="M1283" s="56"/>
      <c r="N1283" s="56"/>
      <c r="O1283" s="56"/>
      <c r="P1283" s="56"/>
      <c r="Q1283" s="56"/>
      <c r="R1283" s="56"/>
      <c r="S1283" s="56"/>
      <c r="T1283" s="56"/>
      <c r="U1283" s="56"/>
      <c r="V1283" s="56"/>
      <c r="W1283" s="56"/>
      <c r="X1283" s="56"/>
      <c r="Y1283" s="56"/>
      <c r="Z1283" s="56"/>
      <c r="AA1283" s="56"/>
      <c r="AB1283" s="56"/>
    </row>
    <row r="1284" ht="21.0" customHeight="1">
      <c r="A1284" s="55"/>
      <c r="B1284" s="60"/>
      <c r="C1284" s="60"/>
      <c r="D1284" s="57"/>
      <c r="E1284" s="57"/>
      <c r="F1284" s="56"/>
      <c r="G1284" s="56"/>
      <c r="H1284" s="56"/>
      <c r="I1284" s="56"/>
      <c r="J1284" s="56"/>
      <c r="K1284" s="56"/>
      <c r="L1284" s="56"/>
      <c r="M1284" s="56"/>
      <c r="N1284" s="56"/>
      <c r="O1284" s="56"/>
      <c r="P1284" s="56"/>
      <c r="Q1284" s="56"/>
      <c r="R1284" s="56"/>
      <c r="S1284" s="56"/>
      <c r="T1284" s="56"/>
      <c r="U1284" s="56"/>
      <c r="V1284" s="56"/>
      <c r="W1284" s="56"/>
      <c r="X1284" s="56"/>
      <c r="Y1284" s="56"/>
      <c r="Z1284" s="56"/>
      <c r="AA1284" s="56"/>
      <c r="AB1284" s="56"/>
    </row>
    <row r="1285" ht="21.0" customHeight="1">
      <c r="A1285" s="55"/>
      <c r="B1285" s="60"/>
      <c r="C1285" s="60"/>
      <c r="D1285" s="57"/>
      <c r="E1285" s="57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  <c r="S1285" s="56"/>
      <c r="T1285" s="56"/>
      <c r="U1285" s="56"/>
      <c r="V1285" s="56"/>
      <c r="W1285" s="56"/>
      <c r="X1285" s="56"/>
      <c r="Y1285" s="56"/>
      <c r="Z1285" s="56"/>
      <c r="AA1285" s="56"/>
      <c r="AB1285" s="56"/>
    </row>
    <row r="1286" ht="21.0" customHeight="1">
      <c r="A1286" s="55"/>
      <c r="B1286" s="60"/>
      <c r="C1286" s="60"/>
      <c r="D1286" s="57"/>
      <c r="E1286" s="57"/>
      <c r="F1286" s="56"/>
      <c r="G1286" s="56"/>
      <c r="H1286" s="56"/>
      <c r="I1286" s="56"/>
      <c r="J1286" s="56"/>
      <c r="K1286" s="56"/>
      <c r="L1286" s="56"/>
      <c r="M1286" s="56"/>
      <c r="N1286" s="56"/>
      <c r="O1286" s="56"/>
      <c r="P1286" s="56"/>
      <c r="Q1286" s="56"/>
      <c r="R1286" s="56"/>
      <c r="S1286" s="56"/>
      <c r="T1286" s="56"/>
      <c r="U1286" s="56"/>
      <c r="V1286" s="56"/>
      <c r="W1286" s="56"/>
      <c r="X1286" s="56"/>
      <c r="Y1286" s="56"/>
      <c r="Z1286" s="56"/>
      <c r="AA1286" s="56"/>
      <c r="AB1286" s="56"/>
    </row>
    <row r="1287" ht="21.0" customHeight="1">
      <c r="A1287" s="55"/>
      <c r="B1287" s="60"/>
      <c r="C1287" s="60"/>
      <c r="D1287" s="57"/>
      <c r="E1287" s="57"/>
      <c r="F1287" s="56"/>
      <c r="G1287" s="56"/>
      <c r="H1287" s="56"/>
      <c r="I1287" s="56"/>
      <c r="J1287" s="56"/>
      <c r="K1287" s="56"/>
      <c r="L1287" s="56"/>
      <c r="M1287" s="56"/>
      <c r="N1287" s="56"/>
      <c r="O1287" s="56"/>
      <c r="P1287" s="56"/>
      <c r="Q1287" s="56"/>
      <c r="R1287" s="56"/>
      <c r="S1287" s="56"/>
      <c r="T1287" s="56"/>
      <c r="U1287" s="56"/>
      <c r="V1287" s="56"/>
      <c r="W1287" s="56"/>
      <c r="X1287" s="56"/>
      <c r="Y1287" s="56"/>
      <c r="Z1287" s="56"/>
      <c r="AA1287" s="56"/>
      <c r="AB1287" s="56"/>
    </row>
    <row r="1288" ht="21.0" customHeight="1">
      <c r="A1288" s="55"/>
      <c r="B1288" s="60"/>
      <c r="C1288" s="60"/>
      <c r="D1288" s="57"/>
      <c r="E1288" s="57"/>
      <c r="F1288" s="56"/>
      <c r="G1288" s="56"/>
      <c r="H1288" s="56"/>
      <c r="I1288" s="56"/>
      <c r="J1288" s="56"/>
      <c r="K1288" s="56"/>
      <c r="L1288" s="56"/>
      <c r="M1288" s="56"/>
      <c r="N1288" s="56"/>
      <c r="O1288" s="56"/>
      <c r="P1288" s="56"/>
      <c r="Q1288" s="56"/>
      <c r="R1288" s="56"/>
      <c r="S1288" s="56"/>
      <c r="T1288" s="56"/>
      <c r="U1288" s="56"/>
      <c r="V1288" s="56"/>
      <c r="W1288" s="56"/>
      <c r="X1288" s="56"/>
      <c r="Y1288" s="56"/>
      <c r="Z1288" s="56"/>
      <c r="AA1288" s="56"/>
      <c r="AB1288" s="56"/>
    </row>
    <row r="1289" ht="21.0" customHeight="1">
      <c r="A1289" s="55"/>
      <c r="B1289" s="60"/>
      <c r="C1289" s="60"/>
      <c r="D1289" s="57"/>
      <c r="E1289" s="57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  <c r="S1289" s="56"/>
      <c r="T1289" s="56"/>
      <c r="U1289" s="56"/>
      <c r="V1289" s="56"/>
      <c r="W1289" s="56"/>
      <c r="X1289" s="56"/>
      <c r="Y1289" s="56"/>
      <c r="Z1289" s="56"/>
      <c r="AA1289" s="56"/>
      <c r="AB1289" s="56"/>
    </row>
    <row r="1290" ht="21.0" customHeight="1">
      <c r="A1290" s="55"/>
      <c r="B1290" s="60"/>
      <c r="C1290" s="60"/>
      <c r="D1290" s="57"/>
      <c r="E1290" s="57"/>
      <c r="F1290" s="56"/>
      <c r="G1290" s="56"/>
      <c r="H1290" s="56"/>
      <c r="I1290" s="56"/>
      <c r="J1290" s="56"/>
      <c r="K1290" s="56"/>
      <c r="L1290" s="56"/>
      <c r="M1290" s="56"/>
      <c r="N1290" s="56"/>
      <c r="O1290" s="56"/>
      <c r="P1290" s="56"/>
      <c r="Q1290" s="56"/>
      <c r="R1290" s="56"/>
      <c r="S1290" s="56"/>
      <c r="T1290" s="56"/>
      <c r="U1290" s="56"/>
      <c r="V1290" s="56"/>
      <c r="W1290" s="56"/>
      <c r="X1290" s="56"/>
      <c r="Y1290" s="56"/>
      <c r="Z1290" s="56"/>
      <c r="AA1290" s="56"/>
      <c r="AB1290" s="56"/>
    </row>
    <row r="1291" ht="21.0" customHeight="1">
      <c r="A1291" s="55"/>
      <c r="B1291" s="60"/>
      <c r="C1291" s="60"/>
      <c r="D1291" s="57"/>
      <c r="E1291" s="57"/>
      <c r="F1291" s="56"/>
      <c r="G1291" s="56"/>
      <c r="H1291" s="56"/>
      <c r="I1291" s="56"/>
      <c r="J1291" s="56"/>
      <c r="K1291" s="56"/>
      <c r="L1291" s="56"/>
      <c r="M1291" s="56"/>
      <c r="N1291" s="56"/>
      <c r="O1291" s="56"/>
      <c r="P1291" s="56"/>
      <c r="Q1291" s="56"/>
      <c r="R1291" s="56"/>
      <c r="S1291" s="56"/>
      <c r="T1291" s="56"/>
      <c r="U1291" s="56"/>
      <c r="V1291" s="56"/>
      <c r="W1291" s="56"/>
      <c r="X1291" s="56"/>
      <c r="Y1291" s="56"/>
      <c r="Z1291" s="56"/>
      <c r="AA1291" s="56"/>
      <c r="AB1291" s="56"/>
    </row>
    <row r="1292" ht="21.0" customHeight="1">
      <c r="A1292" s="55"/>
      <c r="B1292" s="60"/>
      <c r="C1292" s="60"/>
      <c r="D1292" s="57"/>
      <c r="E1292" s="57"/>
      <c r="F1292" s="56"/>
      <c r="G1292" s="56"/>
      <c r="H1292" s="56"/>
      <c r="I1292" s="56"/>
      <c r="J1292" s="56"/>
      <c r="K1292" s="56"/>
      <c r="L1292" s="56"/>
      <c r="M1292" s="56"/>
      <c r="N1292" s="56"/>
      <c r="O1292" s="56"/>
      <c r="P1292" s="56"/>
      <c r="Q1292" s="56"/>
      <c r="R1292" s="56"/>
      <c r="S1292" s="56"/>
      <c r="T1292" s="56"/>
      <c r="U1292" s="56"/>
      <c r="V1292" s="56"/>
      <c r="W1292" s="56"/>
      <c r="X1292" s="56"/>
      <c r="Y1292" s="56"/>
      <c r="Z1292" s="56"/>
      <c r="AA1292" s="56"/>
      <c r="AB1292" s="56"/>
    </row>
    <row r="1293" ht="21.0" customHeight="1">
      <c r="A1293" s="55"/>
      <c r="B1293" s="60"/>
      <c r="C1293" s="60"/>
      <c r="D1293" s="57"/>
      <c r="E1293" s="57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  <c r="S1293" s="56"/>
      <c r="T1293" s="56"/>
      <c r="U1293" s="56"/>
      <c r="V1293" s="56"/>
      <c r="W1293" s="56"/>
      <c r="X1293" s="56"/>
      <c r="Y1293" s="56"/>
      <c r="Z1293" s="56"/>
      <c r="AA1293" s="56"/>
      <c r="AB1293" s="56"/>
    </row>
    <row r="1294" ht="21.0" customHeight="1">
      <c r="A1294" s="55"/>
      <c r="B1294" s="60"/>
      <c r="C1294" s="60"/>
      <c r="D1294" s="57"/>
      <c r="E1294" s="57"/>
      <c r="F1294" s="56"/>
      <c r="G1294" s="56"/>
      <c r="H1294" s="56"/>
      <c r="I1294" s="56"/>
      <c r="J1294" s="56"/>
      <c r="K1294" s="56"/>
      <c r="L1294" s="56"/>
      <c r="M1294" s="56"/>
      <c r="N1294" s="56"/>
      <c r="O1294" s="56"/>
      <c r="P1294" s="56"/>
      <c r="Q1294" s="56"/>
      <c r="R1294" s="56"/>
      <c r="S1294" s="56"/>
      <c r="T1294" s="56"/>
      <c r="U1294" s="56"/>
      <c r="V1294" s="56"/>
      <c r="W1294" s="56"/>
      <c r="X1294" s="56"/>
      <c r="Y1294" s="56"/>
      <c r="Z1294" s="56"/>
      <c r="AA1294" s="56"/>
      <c r="AB1294" s="56"/>
    </row>
    <row r="1295" ht="21.0" customHeight="1">
      <c r="A1295" s="55"/>
      <c r="B1295" s="60"/>
      <c r="C1295" s="60"/>
      <c r="D1295" s="57"/>
      <c r="E1295" s="57"/>
      <c r="F1295" s="56"/>
      <c r="G1295" s="56"/>
      <c r="H1295" s="56"/>
      <c r="I1295" s="56"/>
      <c r="J1295" s="56"/>
      <c r="K1295" s="56"/>
      <c r="L1295" s="56"/>
      <c r="M1295" s="56"/>
      <c r="N1295" s="56"/>
      <c r="O1295" s="56"/>
      <c r="P1295" s="56"/>
      <c r="Q1295" s="56"/>
      <c r="R1295" s="56"/>
      <c r="S1295" s="56"/>
      <c r="T1295" s="56"/>
      <c r="U1295" s="56"/>
      <c r="V1295" s="56"/>
      <c r="W1295" s="56"/>
      <c r="X1295" s="56"/>
      <c r="Y1295" s="56"/>
      <c r="Z1295" s="56"/>
      <c r="AA1295" s="56"/>
      <c r="AB1295" s="56"/>
    </row>
    <row r="1296" ht="21.0" customHeight="1">
      <c r="A1296" s="55"/>
      <c r="B1296" s="60"/>
      <c r="C1296" s="60"/>
      <c r="D1296" s="57"/>
      <c r="E1296" s="57"/>
      <c r="F1296" s="56"/>
      <c r="G1296" s="56"/>
      <c r="H1296" s="56"/>
      <c r="I1296" s="56"/>
      <c r="J1296" s="56"/>
      <c r="K1296" s="56"/>
      <c r="L1296" s="56"/>
      <c r="M1296" s="56"/>
      <c r="N1296" s="56"/>
      <c r="O1296" s="56"/>
      <c r="P1296" s="56"/>
      <c r="Q1296" s="56"/>
      <c r="R1296" s="56"/>
      <c r="S1296" s="56"/>
      <c r="T1296" s="56"/>
      <c r="U1296" s="56"/>
      <c r="V1296" s="56"/>
      <c r="W1296" s="56"/>
      <c r="X1296" s="56"/>
      <c r="Y1296" s="56"/>
      <c r="Z1296" s="56"/>
      <c r="AA1296" s="56"/>
      <c r="AB1296" s="56"/>
    </row>
    <row r="1297" ht="21.0" customHeight="1">
      <c r="A1297" s="55"/>
      <c r="B1297" s="60"/>
      <c r="C1297" s="60"/>
      <c r="D1297" s="57"/>
      <c r="E1297" s="57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  <c r="S1297" s="56"/>
      <c r="T1297" s="56"/>
      <c r="U1297" s="56"/>
      <c r="V1297" s="56"/>
      <c r="W1297" s="56"/>
      <c r="X1297" s="56"/>
      <c r="Y1297" s="56"/>
      <c r="Z1297" s="56"/>
      <c r="AA1297" s="56"/>
      <c r="AB1297" s="56"/>
    </row>
    <row r="1298" ht="21.0" customHeight="1">
      <c r="A1298" s="55"/>
      <c r="B1298" s="60"/>
      <c r="C1298" s="60"/>
      <c r="D1298" s="57"/>
      <c r="E1298" s="57"/>
      <c r="F1298" s="56"/>
      <c r="G1298" s="56"/>
      <c r="H1298" s="56"/>
      <c r="I1298" s="56"/>
      <c r="J1298" s="56"/>
      <c r="K1298" s="56"/>
      <c r="L1298" s="56"/>
      <c r="M1298" s="56"/>
      <c r="N1298" s="56"/>
      <c r="O1298" s="56"/>
      <c r="P1298" s="56"/>
      <c r="Q1298" s="56"/>
      <c r="R1298" s="56"/>
      <c r="S1298" s="56"/>
      <c r="T1298" s="56"/>
      <c r="U1298" s="56"/>
      <c r="V1298" s="56"/>
      <c r="W1298" s="56"/>
      <c r="X1298" s="56"/>
      <c r="Y1298" s="56"/>
      <c r="Z1298" s="56"/>
      <c r="AA1298" s="56"/>
      <c r="AB1298" s="56"/>
    </row>
    <row r="1299" ht="21.0" customHeight="1">
      <c r="A1299" s="55"/>
      <c r="B1299" s="60"/>
      <c r="C1299" s="60"/>
      <c r="D1299" s="57"/>
      <c r="E1299" s="57"/>
      <c r="F1299" s="56"/>
      <c r="G1299" s="56"/>
      <c r="H1299" s="56"/>
      <c r="I1299" s="56"/>
      <c r="J1299" s="56"/>
      <c r="K1299" s="56"/>
      <c r="L1299" s="56"/>
      <c r="M1299" s="56"/>
      <c r="N1299" s="56"/>
      <c r="O1299" s="56"/>
      <c r="P1299" s="56"/>
      <c r="Q1299" s="56"/>
      <c r="R1299" s="56"/>
      <c r="S1299" s="56"/>
      <c r="T1299" s="56"/>
      <c r="U1299" s="56"/>
      <c r="V1299" s="56"/>
      <c r="W1299" s="56"/>
      <c r="X1299" s="56"/>
      <c r="Y1299" s="56"/>
      <c r="Z1299" s="56"/>
      <c r="AA1299" s="56"/>
      <c r="AB1299" s="56"/>
    </row>
    <row r="1300" ht="21.0" customHeight="1">
      <c r="A1300" s="55"/>
      <c r="B1300" s="60"/>
      <c r="C1300" s="60"/>
      <c r="D1300" s="57"/>
      <c r="E1300" s="57"/>
      <c r="F1300" s="56"/>
      <c r="G1300" s="56"/>
      <c r="H1300" s="56"/>
      <c r="I1300" s="56"/>
      <c r="J1300" s="56"/>
      <c r="K1300" s="56"/>
      <c r="L1300" s="56"/>
      <c r="M1300" s="56"/>
      <c r="N1300" s="56"/>
      <c r="O1300" s="56"/>
      <c r="P1300" s="56"/>
      <c r="Q1300" s="56"/>
      <c r="R1300" s="56"/>
      <c r="S1300" s="56"/>
      <c r="T1300" s="56"/>
      <c r="U1300" s="56"/>
      <c r="V1300" s="56"/>
      <c r="W1300" s="56"/>
      <c r="X1300" s="56"/>
      <c r="Y1300" s="56"/>
      <c r="Z1300" s="56"/>
      <c r="AA1300" s="56"/>
      <c r="AB1300" s="56"/>
    </row>
    <row r="1301" ht="21.0" customHeight="1">
      <c r="A1301" s="55"/>
      <c r="B1301" s="60"/>
      <c r="C1301" s="60"/>
      <c r="D1301" s="57"/>
      <c r="E1301" s="57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  <c r="S1301" s="56"/>
      <c r="T1301" s="56"/>
      <c r="U1301" s="56"/>
      <c r="V1301" s="56"/>
      <c r="W1301" s="56"/>
      <c r="X1301" s="56"/>
      <c r="Y1301" s="56"/>
      <c r="Z1301" s="56"/>
      <c r="AA1301" s="56"/>
      <c r="AB1301" s="56"/>
    </row>
    <row r="1302" ht="21.0" customHeight="1">
      <c r="A1302" s="55"/>
      <c r="B1302" s="60"/>
      <c r="C1302" s="60"/>
      <c r="D1302" s="57"/>
      <c r="E1302" s="57"/>
      <c r="F1302" s="56"/>
      <c r="G1302" s="56"/>
      <c r="H1302" s="56"/>
      <c r="I1302" s="56"/>
      <c r="J1302" s="56"/>
      <c r="K1302" s="56"/>
      <c r="L1302" s="56"/>
      <c r="M1302" s="56"/>
      <c r="N1302" s="56"/>
      <c r="O1302" s="56"/>
      <c r="P1302" s="56"/>
      <c r="Q1302" s="56"/>
      <c r="R1302" s="56"/>
      <c r="S1302" s="56"/>
      <c r="T1302" s="56"/>
      <c r="U1302" s="56"/>
      <c r="V1302" s="56"/>
      <c r="W1302" s="56"/>
      <c r="X1302" s="56"/>
      <c r="Y1302" s="56"/>
      <c r="Z1302" s="56"/>
      <c r="AA1302" s="56"/>
      <c r="AB1302" s="56"/>
    </row>
    <row r="1303" ht="21.0" customHeight="1">
      <c r="A1303" s="55"/>
      <c r="B1303" s="60"/>
      <c r="C1303" s="60"/>
      <c r="D1303" s="57"/>
      <c r="E1303" s="57"/>
      <c r="F1303" s="56"/>
      <c r="G1303" s="56"/>
      <c r="H1303" s="56"/>
      <c r="I1303" s="56"/>
      <c r="J1303" s="56"/>
      <c r="K1303" s="56"/>
      <c r="L1303" s="56"/>
      <c r="M1303" s="56"/>
      <c r="N1303" s="56"/>
      <c r="O1303" s="56"/>
      <c r="P1303" s="56"/>
      <c r="Q1303" s="56"/>
      <c r="R1303" s="56"/>
      <c r="S1303" s="56"/>
      <c r="T1303" s="56"/>
      <c r="U1303" s="56"/>
      <c r="V1303" s="56"/>
      <c r="W1303" s="56"/>
      <c r="X1303" s="56"/>
      <c r="Y1303" s="56"/>
      <c r="Z1303" s="56"/>
      <c r="AA1303" s="56"/>
      <c r="AB1303" s="56"/>
    </row>
    <row r="1304" ht="21.0" customHeight="1">
      <c r="A1304" s="55"/>
      <c r="B1304" s="60"/>
      <c r="C1304" s="60"/>
      <c r="D1304" s="57"/>
      <c r="E1304" s="57"/>
      <c r="F1304" s="56"/>
      <c r="G1304" s="56"/>
      <c r="H1304" s="56"/>
      <c r="I1304" s="56"/>
      <c r="J1304" s="56"/>
      <c r="K1304" s="56"/>
      <c r="L1304" s="56"/>
      <c r="M1304" s="56"/>
      <c r="N1304" s="56"/>
      <c r="O1304" s="56"/>
      <c r="P1304" s="56"/>
      <c r="Q1304" s="56"/>
      <c r="R1304" s="56"/>
      <c r="S1304" s="56"/>
      <c r="T1304" s="56"/>
      <c r="U1304" s="56"/>
      <c r="V1304" s="56"/>
      <c r="W1304" s="56"/>
      <c r="X1304" s="56"/>
      <c r="Y1304" s="56"/>
      <c r="Z1304" s="56"/>
      <c r="AA1304" s="56"/>
      <c r="AB1304" s="56"/>
    </row>
    <row r="1305" ht="21.0" customHeight="1">
      <c r="A1305" s="55"/>
      <c r="B1305" s="60"/>
      <c r="C1305" s="60"/>
      <c r="D1305" s="57"/>
      <c r="E1305" s="57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  <c r="S1305" s="56"/>
      <c r="T1305" s="56"/>
      <c r="U1305" s="56"/>
      <c r="V1305" s="56"/>
      <c r="W1305" s="56"/>
      <c r="X1305" s="56"/>
      <c r="Y1305" s="56"/>
      <c r="Z1305" s="56"/>
      <c r="AA1305" s="56"/>
      <c r="AB1305" s="56"/>
    </row>
    <row r="1306" ht="21.0" customHeight="1">
      <c r="A1306" s="55"/>
      <c r="B1306" s="60"/>
      <c r="C1306" s="60"/>
      <c r="D1306" s="57"/>
      <c r="E1306" s="57"/>
      <c r="F1306" s="56"/>
      <c r="G1306" s="56"/>
      <c r="H1306" s="56"/>
      <c r="I1306" s="56"/>
      <c r="J1306" s="56"/>
      <c r="K1306" s="56"/>
      <c r="L1306" s="56"/>
      <c r="M1306" s="56"/>
      <c r="N1306" s="56"/>
      <c r="O1306" s="56"/>
      <c r="P1306" s="56"/>
      <c r="Q1306" s="56"/>
      <c r="R1306" s="56"/>
      <c r="S1306" s="56"/>
      <c r="T1306" s="56"/>
      <c r="U1306" s="56"/>
      <c r="V1306" s="56"/>
      <c r="W1306" s="56"/>
      <c r="X1306" s="56"/>
      <c r="Y1306" s="56"/>
      <c r="Z1306" s="56"/>
      <c r="AA1306" s="56"/>
      <c r="AB1306" s="56"/>
    </row>
    <row r="1307" ht="21.0" customHeight="1">
      <c r="A1307" s="55"/>
      <c r="B1307" s="60"/>
      <c r="C1307" s="60"/>
      <c r="D1307" s="57"/>
      <c r="E1307" s="57"/>
      <c r="F1307" s="56"/>
      <c r="G1307" s="56"/>
      <c r="H1307" s="56"/>
      <c r="I1307" s="56"/>
      <c r="J1307" s="56"/>
      <c r="K1307" s="56"/>
      <c r="L1307" s="56"/>
      <c r="M1307" s="56"/>
      <c r="N1307" s="56"/>
      <c r="O1307" s="56"/>
      <c r="P1307" s="56"/>
      <c r="Q1307" s="56"/>
      <c r="R1307" s="56"/>
      <c r="S1307" s="56"/>
      <c r="T1307" s="56"/>
      <c r="U1307" s="56"/>
      <c r="V1307" s="56"/>
      <c r="W1307" s="56"/>
      <c r="X1307" s="56"/>
      <c r="Y1307" s="56"/>
      <c r="Z1307" s="56"/>
      <c r="AA1307" s="56"/>
      <c r="AB1307" s="56"/>
    </row>
    <row r="1308" ht="21.0" customHeight="1">
      <c r="A1308" s="55"/>
      <c r="B1308" s="60"/>
      <c r="C1308" s="60"/>
      <c r="D1308" s="57"/>
      <c r="E1308" s="57"/>
      <c r="F1308" s="56"/>
      <c r="G1308" s="56"/>
      <c r="H1308" s="56"/>
      <c r="I1308" s="56"/>
      <c r="J1308" s="56"/>
      <c r="K1308" s="56"/>
      <c r="L1308" s="56"/>
      <c r="M1308" s="56"/>
      <c r="N1308" s="56"/>
      <c r="O1308" s="56"/>
      <c r="P1308" s="56"/>
      <c r="Q1308" s="56"/>
      <c r="R1308" s="56"/>
      <c r="S1308" s="56"/>
      <c r="T1308" s="56"/>
      <c r="U1308" s="56"/>
      <c r="V1308" s="56"/>
      <c r="W1308" s="56"/>
      <c r="X1308" s="56"/>
      <c r="Y1308" s="56"/>
      <c r="Z1308" s="56"/>
      <c r="AA1308" s="56"/>
      <c r="AB1308" s="56"/>
    </row>
    <row r="1309" ht="21.0" customHeight="1">
      <c r="A1309" s="55"/>
      <c r="B1309" s="60"/>
      <c r="C1309" s="60"/>
      <c r="D1309" s="57"/>
      <c r="E1309" s="57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  <c r="S1309" s="56"/>
      <c r="T1309" s="56"/>
      <c r="U1309" s="56"/>
      <c r="V1309" s="56"/>
      <c r="W1309" s="56"/>
      <c r="X1309" s="56"/>
      <c r="Y1309" s="56"/>
      <c r="Z1309" s="56"/>
      <c r="AA1309" s="56"/>
      <c r="AB1309" s="56"/>
    </row>
    <row r="1310" ht="21.0" customHeight="1">
      <c r="A1310" s="55"/>
      <c r="B1310" s="60"/>
      <c r="C1310" s="60"/>
      <c r="D1310" s="57"/>
      <c r="E1310" s="57"/>
      <c r="F1310" s="56"/>
      <c r="G1310" s="56"/>
      <c r="H1310" s="56"/>
      <c r="I1310" s="56"/>
      <c r="J1310" s="56"/>
      <c r="K1310" s="56"/>
      <c r="L1310" s="56"/>
      <c r="M1310" s="56"/>
      <c r="N1310" s="56"/>
      <c r="O1310" s="56"/>
      <c r="P1310" s="56"/>
      <c r="Q1310" s="56"/>
      <c r="R1310" s="56"/>
      <c r="S1310" s="56"/>
      <c r="T1310" s="56"/>
      <c r="U1310" s="56"/>
      <c r="V1310" s="56"/>
      <c r="W1310" s="56"/>
      <c r="X1310" s="56"/>
      <c r="Y1310" s="56"/>
      <c r="Z1310" s="56"/>
      <c r="AA1310" s="56"/>
      <c r="AB1310" s="56"/>
    </row>
    <row r="1311" ht="21.0" customHeight="1">
      <c r="A1311" s="55"/>
      <c r="B1311" s="60"/>
      <c r="C1311" s="60"/>
      <c r="D1311" s="57"/>
      <c r="E1311" s="57"/>
      <c r="F1311" s="56"/>
      <c r="G1311" s="56"/>
      <c r="H1311" s="56"/>
      <c r="I1311" s="56"/>
      <c r="J1311" s="56"/>
      <c r="K1311" s="56"/>
      <c r="L1311" s="56"/>
      <c r="M1311" s="56"/>
      <c r="N1311" s="56"/>
      <c r="O1311" s="56"/>
      <c r="P1311" s="56"/>
      <c r="Q1311" s="56"/>
      <c r="R1311" s="56"/>
      <c r="S1311" s="56"/>
      <c r="T1311" s="56"/>
      <c r="U1311" s="56"/>
      <c r="V1311" s="56"/>
      <c r="W1311" s="56"/>
      <c r="X1311" s="56"/>
      <c r="Y1311" s="56"/>
      <c r="Z1311" s="56"/>
      <c r="AA1311" s="56"/>
      <c r="AB1311" s="56"/>
    </row>
    <row r="1312" ht="21.0" customHeight="1">
      <c r="A1312" s="55"/>
      <c r="B1312" s="60"/>
      <c r="C1312" s="60"/>
      <c r="D1312" s="57"/>
      <c r="E1312" s="57"/>
      <c r="F1312" s="56"/>
      <c r="G1312" s="56"/>
      <c r="H1312" s="56"/>
      <c r="I1312" s="56"/>
      <c r="J1312" s="56"/>
      <c r="K1312" s="56"/>
      <c r="L1312" s="56"/>
      <c r="M1312" s="56"/>
      <c r="N1312" s="56"/>
      <c r="O1312" s="56"/>
      <c r="P1312" s="56"/>
      <c r="Q1312" s="56"/>
      <c r="R1312" s="56"/>
      <c r="S1312" s="56"/>
      <c r="T1312" s="56"/>
      <c r="U1312" s="56"/>
      <c r="V1312" s="56"/>
      <c r="W1312" s="56"/>
      <c r="X1312" s="56"/>
      <c r="Y1312" s="56"/>
      <c r="Z1312" s="56"/>
      <c r="AA1312" s="56"/>
      <c r="AB1312" s="56"/>
    </row>
    <row r="1313" ht="21.0" customHeight="1">
      <c r="A1313" s="55"/>
      <c r="B1313" s="60"/>
      <c r="C1313" s="60"/>
      <c r="D1313" s="57"/>
      <c r="E1313" s="57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  <c r="S1313" s="56"/>
      <c r="T1313" s="56"/>
      <c r="U1313" s="56"/>
      <c r="V1313" s="56"/>
      <c r="W1313" s="56"/>
      <c r="X1313" s="56"/>
      <c r="Y1313" s="56"/>
      <c r="Z1313" s="56"/>
      <c r="AA1313" s="56"/>
      <c r="AB1313" s="56"/>
    </row>
    <row r="1314" ht="21.0" customHeight="1">
      <c r="A1314" s="55"/>
      <c r="B1314" s="60"/>
      <c r="C1314" s="60"/>
      <c r="D1314" s="57"/>
      <c r="E1314" s="57"/>
      <c r="F1314" s="56"/>
      <c r="G1314" s="56"/>
      <c r="H1314" s="56"/>
      <c r="I1314" s="56"/>
      <c r="J1314" s="56"/>
      <c r="K1314" s="56"/>
      <c r="L1314" s="56"/>
      <c r="M1314" s="56"/>
      <c r="N1314" s="56"/>
      <c r="O1314" s="56"/>
      <c r="P1314" s="56"/>
      <c r="Q1314" s="56"/>
      <c r="R1314" s="56"/>
      <c r="S1314" s="56"/>
      <c r="T1314" s="56"/>
      <c r="U1314" s="56"/>
      <c r="V1314" s="56"/>
      <c r="W1314" s="56"/>
      <c r="X1314" s="56"/>
      <c r="Y1314" s="56"/>
      <c r="Z1314" s="56"/>
      <c r="AA1314" s="56"/>
      <c r="AB1314" s="56"/>
    </row>
    <row r="1315" ht="21.0" customHeight="1">
      <c r="A1315" s="55"/>
      <c r="B1315" s="60"/>
      <c r="C1315" s="60"/>
      <c r="D1315" s="57"/>
      <c r="E1315" s="57"/>
      <c r="F1315" s="56"/>
      <c r="G1315" s="56"/>
      <c r="H1315" s="56"/>
      <c r="I1315" s="56"/>
      <c r="J1315" s="56"/>
      <c r="K1315" s="56"/>
      <c r="L1315" s="56"/>
      <c r="M1315" s="56"/>
      <c r="N1315" s="56"/>
      <c r="O1315" s="56"/>
      <c r="P1315" s="56"/>
      <c r="Q1315" s="56"/>
      <c r="R1315" s="56"/>
      <c r="S1315" s="56"/>
      <c r="T1315" s="56"/>
      <c r="U1315" s="56"/>
      <c r="V1315" s="56"/>
      <c r="W1315" s="56"/>
      <c r="X1315" s="56"/>
      <c r="Y1315" s="56"/>
      <c r="Z1315" s="56"/>
      <c r="AA1315" s="56"/>
      <c r="AB1315" s="56"/>
    </row>
    <row r="1316" ht="21.0" customHeight="1">
      <c r="A1316" s="55"/>
      <c r="B1316" s="60"/>
      <c r="C1316" s="60"/>
      <c r="D1316" s="57"/>
      <c r="E1316" s="57"/>
      <c r="F1316" s="56"/>
      <c r="G1316" s="56"/>
      <c r="H1316" s="56"/>
      <c r="I1316" s="56"/>
      <c r="J1316" s="56"/>
      <c r="K1316" s="56"/>
      <c r="L1316" s="56"/>
      <c r="M1316" s="56"/>
      <c r="N1316" s="56"/>
      <c r="O1316" s="56"/>
      <c r="P1316" s="56"/>
      <c r="Q1316" s="56"/>
      <c r="R1316" s="56"/>
      <c r="S1316" s="56"/>
      <c r="T1316" s="56"/>
      <c r="U1316" s="56"/>
      <c r="V1316" s="56"/>
      <c r="W1316" s="56"/>
      <c r="X1316" s="56"/>
      <c r="Y1316" s="56"/>
      <c r="Z1316" s="56"/>
      <c r="AA1316" s="56"/>
      <c r="AB1316" s="56"/>
    </row>
    <row r="1317" ht="21.0" customHeight="1">
      <c r="A1317" s="55"/>
      <c r="B1317" s="60"/>
      <c r="C1317" s="60"/>
      <c r="D1317" s="57"/>
      <c r="E1317" s="57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  <c r="S1317" s="56"/>
      <c r="T1317" s="56"/>
      <c r="U1317" s="56"/>
      <c r="V1317" s="56"/>
      <c r="W1317" s="56"/>
      <c r="X1317" s="56"/>
      <c r="Y1317" s="56"/>
      <c r="Z1317" s="56"/>
      <c r="AA1317" s="56"/>
      <c r="AB1317" s="56"/>
    </row>
    <row r="1318" ht="21.0" customHeight="1">
      <c r="A1318" s="55"/>
      <c r="B1318" s="60"/>
      <c r="C1318" s="60"/>
      <c r="D1318" s="57"/>
      <c r="E1318" s="57"/>
      <c r="F1318" s="56"/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  <c r="R1318" s="56"/>
      <c r="S1318" s="56"/>
      <c r="T1318" s="56"/>
      <c r="U1318" s="56"/>
      <c r="V1318" s="56"/>
      <c r="W1318" s="56"/>
      <c r="X1318" s="56"/>
      <c r="Y1318" s="56"/>
      <c r="Z1318" s="56"/>
      <c r="AA1318" s="56"/>
      <c r="AB1318" s="56"/>
    </row>
    <row r="1319" ht="21.0" customHeight="1">
      <c r="A1319" s="55"/>
      <c r="B1319" s="60"/>
      <c r="C1319" s="60"/>
      <c r="D1319" s="57"/>
      <c r="E1319" s="57"/>
      <c r="F1319" s="56"/>
      <c r="G1319" s="56"/>
      <c r="H1319" s="56"/>
      <c r="I1319" s="56"/>
      <c r="J1319" s="56"/>
      <c r="K1319" s="56"/>
      <c r="L1319" s="56"/>
      <c r="M1319" s="56"/>
      <c r="N1319" s="56"/>
      <c r="O1319" s="56"/>
      <c r="P1319" s="56"/>
      <c r="Q1319" s="56"/>
      <c r="R1319" s="56"/>
      <c r="S1319" s="56"/>
      <c r="T1319" s="56"/>
      <c r="U1319" s="56"/>
      <c r="V1319" s="56"/>
      <c r="W1319" s="56"/>
      <c r="X1319" s="56"/>
      <c r="Y1319" s="56"/>
      <c r="Z1319" s="56"/>
      <c r="AA1319" s="56"/>
      <c r="AB1319" s="56"/>
    </row>
    <row r="1320" ht="21.0" customHeight="1">
      <c r="A1320" s="55"/>
      <c r="B1320" s="60"/>
      <c r="C1320" s="60"/>
      <c r="D1320" s="57"/>
      <c r="E1320" s="57"/>
      <c r="F1320" s="56"/>
      <c r="G1320" s="56"/>
      <c r="H1320" s="56"/>
      <c r="I1320" s="56"/>
      <c r="J1320" s="56"/>
      <c r="K1320" s="56"/>
      <c r="L1320" s="56"/>
      <c r="M1320" s="56"/>
      <c r="N1320" s="56"/>
      <c r="O1320" s="56"/>
      <c r="P1320" s="56"/>
      <c r="Q1320" s="56"/>
      <c r="R1320" s="56"/>
      <c r="S1320" s="56"/>
      <c r="T1320" s="56"/>
      <c r="U1320" s="56"/>
      <c r="V1320" s="56"/>
      <c r="W1320" s="56"/>
      <c r="X1320" s="56"/>
      <c r="Y1320" s="56"/>
      <c r="Z1320" s="56"/>
      <c r="AA1320" s="56"/>
      <c r="AB1320" s="56"/>
    </row>
    <row r="1321" ht="21.0" customHeight="1">
      <c r="A1321" s="55"/>
      <c r="B1321" s="60"/>
      <c r="C1321" s="60"/>
      <c r="D1321" s="57"/>
      <c r="E1321" s="57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  <c r="S1321" s="56"/>
      <c r="T1321" s="56"/>
      <c r="U1321" s="56"/>
      <c r="V1321" s="56"/>
      <c r="W1321" s="56"/>
      <c r="X1321" s="56"/>
      <c r="Y1321" s="56"/>
      <c r="Z1321" s="56"/>
      <c r="AA1321" s="56"/>
      <c r="AB1321" s="56"/>
    </row>
    <row r="1322" ht="21.0" customHeight="1">
      <c r="A1322" s="55"/>
      <c r="B1322" s="60"/>
      <c r="C1322" s="60"/>
      <c r="D1322" s="57"/>
      <c r="E1322" s="57"/>
      <c r="F1322" s="56"/>
      <c r="G1322" s="56"/>
      <c r="H1322" s="56"/>
      <c r="I1322" s="56"/>
      <c r="J1322" s="56"/>
      <c r="K1322" s="56"/>
      <c r="L1322" s="56"/>
      <c r="M1322" s="56"/>
      <c r="N1322" s="56"/>
      <c r="O1322" s="56"/>
      <c r="P1322" s="56"/>
      <c r="Q1322" s="56"/>
      <c r="R1322" s="56"/>
      <c r="S1322" s="56"/>
      <c r="T1322" s="56"/>
      <c r="U1322" s="56"/>
      <c r="V1322" s="56"/>
      <c r="W1322" s="56"/>
      <c r="X1322" s="56"/>
      <c r="Y1322" s="56"/>
      <c r="Z1322" s="56"/>
      <c r="AA1322" s="56"/>
      <c r="AB1322" s="56"/>
    </row>
    <row r="1323" ht="21.0" customHeight="1">
      <c r="A1323" s="55"/>
      <c r="B1323" s="60"/>
      <c r="C1323" s="60"/>
      <c r="D1323" s="57"/>
      <c r="E1323" s="57"/>
      <c r="F1323" s="56"/>
      <c r="G1323" s="56"/>
      <c r="H1323" s="56"/>
      <c r="I1323" s="56"/>
      <c r="J1323" s="56"/>
      <c r="K1323" s="56"/>
      <c r="L1323" s="56"/>
      <c r="M1323" s="56"/>
      <c r="N1323" s="56"/>
      <c r="O1323" s="56"/>
      <c r="P1323" s="56"/>
      <c r="Q1323" s="56"/>
      <c r="R1323" s="56"/>
      <c r="S1323" s="56"/>
      <c r="T1323" s="56"/>
      <c r="U1323" s="56"/>
      <c r="V1323" s="56"/>
      <c r="W1323" s="56"/>
      <c r="X1323" s="56"/>
      <c r="Y1323" s="56"/>
      <c r="Z1323" s="56"/>
      <c r="AA1323" s="56"/>
      <c r="AB1323" s="56"/>
    </row>
    <row r="1324" ht="21.0" customHeight="1">
      <c r="A1324" s="55"/>
      <c r="B1324" s="60"/>
      <c r="C1324" s="60"/>
      <c r="D1324" s="57"/>
      <c r="E1324" s="57"/>
      <c r="F1324" s="56"/>
      <c r="G1324" s="56"/>
      <c r="H1324" s="56"/>
      <c r="I1324" s="56"/>
      <c r="J1324" s="56"/>
      <c r="K1324" s="56"/>
      <c r="L1324" s="56"/>
      <c r="M1324" s="56"/>
      <c r="N1324" s="56"/>
      <c r="O1324" s="56"/>
      <c r="P1324" s="56"/>
      <c r="Q1324" s="56"/>
      <c r="R1324" s="56"/>
      <c r="S1324" s="56"/>
      <c r="T1324" s="56"/>
      <c r="U1324" s="56"/>
      <c r="V1324" s="56"/>
      <c r="W1324" s="56"/>
      <c r="X1324" s="56"/>
      <c r="Y1324" s="56"/>
      <c r="Z1324" s="56"/>
      <c r="AA1324" s="56"/>
      <c r="AB1324" s="56"/>
    </row>
    <row r="1325" ht="21.0" customHeight="1">
      <c r="A1325" s="55"/>
      <c r="B1325" s="60"/>
      <c r="C1325" s="60"/>
      <c r="D1325" s="57"/>
      <c r="E1325" s="57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  <c r="S1325" s="56"/>
      <c r="T1325" s="56"/>
      <c r="U1325" s="56"/>
      <c r="V1325" s="56"/>
      <c r="W1325" s="56"/>
      <c r="X1325" s="56"/>
      <c r="Y1325" s="56"/>
      <c r="Z1325" s="56"/>
      <c r="AA1325" s="56"/>
      <c r="AB1325" s="56"/>
    </row>
    <row r="1326" ht="21.0" customHeight="1">
      <c r="A1326" s="55"/>
      <c r="B1326" s="60"/>
      <c r="C1326" s="60"/>
      <c r="D1326" s="57"/>
      <c r="E1326" s="57"/>
      <c r="F1326" s="56"/>
      <c r="G1326" s="56"/>
      <c r="H1326" s="56"/>
      <c r="I1326" s="56"/>
      <c r="J1326" s="56"/>
      <c r="K1326" s="56"/>
      <c r="L1326" s="56"/>
      <c r="M1326" s="56"/>
      <c r="N1326" s="56"/>
      <c r="O1326" s="56"/>
      <c r="P1326" s="56"/>
      <c r="Q1326" s="56"/>
      <c r="R1326" s="56"/>
      <c r="S1326" s="56"/>
      <c r="T1326" s="56"/>
      <c r="U1326" s="56"/>
      <c r="V1326" s="56"/>
      <c r="W1326" s="56"/>
      <c r="X1326" s="56"/>
      <c r="Y1326" s="56"/>
      <c r="Z1326" s="56"/>
      <c r="AA1326" s="56"/>
      <c r="AB1326" s="56"/>
    </row>
    <row r="1327" ht="21.0" customHeight="1">
      <c r="A1327" s="55"/>
      <c r="B1327" s="60"/>
      <c r="C1327" s="60"/>
      <c r="D1327" s="57"/>
      <c r="E1327" s="57"/>
      <c r="F1327" s="56"/>
      <c r="G1327" s="56"/>
      <c r="H1327" s="56"/>
      <c r="I1327" s="56"/>
      <c r="J1327" s="56"/>
      <c r="K1327" s="56"/>
      <c r="L1327" s="56"/>
      <c r="M1327" s="56"/>
      <c r="N1327" s="56"/>
      <c r="O1327" s="56"/>
      <c r="P1327" s="56"/>
      <c r="Q1327" s="56"/>
      <c r="R1327" s="56"/>
      <c r="S1327" s="56"/>
      <c r="T1327" s="56"/>
      <c r="U1327" s="56"/>
      <c r="V1327" s="56"/>
      <c r="W1327" s="56"/>
      <c r="X1327" s="56"/>
      <c r="Y1327" s="56"/>
      <c r="Z1327" s="56"/>
      <c r="AA1327" s="56"/>
      <c r="AB1327" s="56"/>
    </row>
    <row r="1328" ht="21.0" customHeight="1">
      <c r="A1328" s="55"/>
      <c r="B1328" s="60"/>
      <c r="C1328" s="60"/>
      <c r="D1328" s="57"/>
      <c r="E1328" s="57"/>
      <c r="F1328" s="56"/>
      <c r="G1328" s="56"/>
      <c r="H1328" s="56"/>
      <c r="I1328" s="56"/>
      <c r="J1328" s="56"/>
      <c r="K1328" s="56"/>
      <c r="L1328" s="56"/>
      <c r="M1328" s="56"/>
      <c r="N1328" s="56"/>
      <c r="O1328" s="56"/>
      <c r="P1328" s="56"/>
      <c r="Q1328" s="56"/>
      <c r="R1328" s="56"/>
      <c r="S1328" s="56"/>
      <c r="T1328" s="56"/>
      <c r="U1328" s="56"/>
      <c r="V1328" s="56"/>
      <c r="W1328" s="56"/>
      <c r="X1328" s="56"/>
      <c r="Y1328" s="56"/>
      <c r="Z1328" s="56"/>
      <c r="AA1328" s="56"/>
      <c r="AB1328" s="56"/>
    </row>
    <row r="1329" ht="21.0" customHeight="1">
      <c r="A1329" s="55"/>
      <c r="B1329" s="60"/>
      <c r="C1329" s="60"/>
      <c r="D1329" s="57"/>
      <c r="E1329" s="57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  <c r="S1329" s="56"/>
      <c r="T1329" s="56"/>
      <c r="U1329" s="56"/>
      <c r="V1329" s="56"/>
      <c r="W1329" s="56"/>
      <c r="X1329" s="56"/>
      <c r="Y1329" s="56"/>
      <c r="Z1329" s="56"/>
      <c r="AA1329" s="56"/>
      <c r="AB1329" s="56"/>
    </row>
    <row r="1330" ht="21.0" customHeight="1">
      <c r="A1330" s="55"/>
      <c r="B1330" s="60"/>
      <c r="C1330" s="60"/>
      <c r="D1330" s="57"/>
      <c r="E1330" s="57"/>
      <c r="F1330" s="56"/>
      <c r="G1330" s="56"/>
      <c r="H1330" s="56"/>
      <c r="I1330" s="56"/>
      <c r="J1330" s="56"/>
      <c r="K1330" s="56"/>
      <c r="L1330" s="56"/>
      <c r="M1330" s="56"/>
      <c r="N1330" s="56"/>
      <c r="O1330" s="56"/>
      <c r="P1330" s="56"/>
      <c r="Q1330" s="56"/>
      <c r="R1330" s="56"/>
      <c r="S1330" s="56"/>
      <c r="T1330" s="56"/>
      <c r="U1330" s="56"/>
      <c r="V1330" s="56"/>
      <c r="W1330" s="56"/>
      <c r="X1330" s="56"/>
      <c r="Y1330" s="56"/>
      <c r="Z1330" s="56"/>
      <c r="AA1330" s="56"/>
      <c r="AB1330" s="56"/>
    </row>
    <row r="1331" ht="21.0" customHeight="1">
      <c r="A1331" s="55"/>
      <c r="B1331" s="60"/>
      <c r="C1331" s="60"/>
      <c r="D1331" s="57"/>
      <c r="E1331" s="57"/>
      <c r="F1331" s="56"/>
      <c r="G1331" s="56"/>
      <c r="H1331" s="56"/>
      <c r="I1331" s="56"/>
      <c r="J1331" s="56"/>
      <c r="K1331" s="56"/>
      <c r="L1331" s="56"/>
      <c r="M1331" s="56"/>
      <c r="N1331" s="56"/>
      <c r="O1331" s="56"/>
      <c r="P1331" s="56"/>
      <c r="Q1331" s="56"/>
      <c r="R1331" s="56"/>
      <c r="S1331" s="56"/>
      <c r="T1331" s="56"/>
      <c r="U1331" s="56"/>
      <c r="V1331" s="56"/>
      <c r="W1331" s="56"/>
      <c r="X1331" s="56"/>
      <c r="Y1331" s="56"/>
      <c r="Z1331" s="56"/>
      <c r="AA1331" s="56"/>
      <c r="AB1331" s="56"/>
    </row>
    <row r="1332" ht="21.0" customHeight="1">
      <c r="A1332" s="55"/>
      <c r="B1332" s="60"/>
      <c r="C1332" s="60"/>
      <c r="D1332" s="57"/>
      <c r="E1332" s="57"/>
      <c r="F1332" s="56"/>
      <c r="G1332" s="56"/>
      <c r="H1332" s="56"/>
      <c r="I1332" s="56"/>
      <c r="J1332" s="56"/>
      <c r="K1332" s="56"/>
      <c r="L1332" s="56"/>
      <c r="M1332" s="56"/>
      <c r="N1332" s="56"/>
      <c r="O1332" s="56"/>
      <c r="P1332" s="56"/>
      <c r="Q1332" s="56"/>
      <c r="R1332" s="56"/>
      <c r="S1332" s="56"/>
      <c r="T1332" s="56"/>
      <c r="U1332" s="56"/>
      <c r="V1332" s="56"/>
      <c r="W1332" s="56"/>
      <c r="X1332" s="56"/>
      <c r="Y1332" s="56"/>
      <c r="Z1332" s="56"/>
      <c r="AA1332" s="56"/>
      <c r="AB1332" s="56"/>
    </row>
    <row r="1333" ht="21.0" customHeight="1">
      <c r="A1333" s="55"/>
      <c r="B1333" s="60"/>
      <c r="C1333" s="60"/>
      <c r="D1333" s="57"/>
      <c r="E1333" s="57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  <c r="S1333" s="56"/>
      <c r="T1333" s="56"/>
      <c r="U1333" s="56"/>
      <c r="V1333" s="56"/>
      <c r="W1333" s="56"/>
      <c r="X1333" s="56"/>
      <c r="Y1333" s="56"/>
      <c r="Z1333" s="56"/>
      <c r="AA1333" s="56"/>
      <c r="AB1333" s="56"/>
    </row>
    <row r="1334" ht="21.0" customHeight="1">
      <c r="A1334" s="55"/>
      <c r="B1334" s="60"/>
      <c r="C1334" s="60"/>
      <c r="D1334" s="57"/>
      <c r="E1334" s="57"/>
      <c r="F1334" s="56"/>
      <c r="G1334" s="56"/>
      <c r="H1334" s="56"/>
      <c r="I1334" s="56"/>
      <c r="J1334" s="56"/>
      <c r="K1334" s="56"/>
      <c r="L1334" s="56"/>
      <c r="M1334" s="56"/>
      <c r="N1334" s="56"/>
      <c r="O1334" s="56"/>
      <c r="P1334" s="56"/>
      <c r="Q1334" s="56"/>
      <c r="R1334" s="56"/>
      <c r="S1334" s="56"/>
      <c r="T1334" s="56"/>
      <c r="U1334" s="56"/>
      <c r="V1334" s="56"/>
      <c r="W1334" s="56"/>
      <c r="X1334" s="56"/>
      <c r="Y1334" s="56"/>
      <c r="Z1334" s="56"/>
      <c r="AA1334" s="56"/>
      <c r="AB1334" s="56"/>
    </row>
    <row r="1335" ht="21.0" customHeight="1">
      <c r="A1335" s="55"/>
      <c r="B1335" s="60"/>
      <c r="C1335" s="60"/>
      <c r="D1335" s="57"/>
      <c r="E1335" s="57"/>
      <c r="F1335" s="56"/>
      <c r="G1335" s="56"/>
      <c r="H1335" s="56"/>
      <c r="I1335" s="56"/>
      <c r="J1335" s="56"/>
      <c r="K1335" s="56"/>
      <c r="L1335" s="56"/>
      <c r="M1335" s="56"/>
      <c r="N1335" s="56"/>
      <c r="O1335" s="56"/>
      <c r="P1335" s="56"/>
      <c r="Q1335" s="56"/>
      <c r="R1335" s="56"/>
      <c r="S1335" s="56"/>
      <c r="T1335" s="56"/>
      <c r="U1335" s="56"/>
      <c r="V1335" s="56"/>
      <c r="W1335" s="56"/>
      <c r="X1335" s="56"/>
      <c r="Y1335" s="56"/>
      <c r="Z1335" s="56"/>
      <c r="AA1335" s="56"/>
      <c r="AB1335" s="56"/>
    </row>
    <row r="1336" ht="21.0" customHeight="1">
      <c r="A1336" s="55"/>
      <c r="B1336" s="60"/>
      <c r="C1336" s="60"/>
      <c r="D1336" s="57"/>
      <c r="E1336" s="57"/>
      <c r="F1336" s="56"/>
      <c r="G1336" s="56"/>
      <c r="H1336" s="56"/>
      <c r="I1336" s="56"/>
      <c r="J1336" s="56"/>
      <c r="K1336" s="56"/>
      <c r="L1336" s="56"/>
      <c r="M1336" s="56"/>
      <c r="N1336" s="56"/>
      <c r="O1336" s="56"/>
      <c r="P1336" s="56"/>
      <c r="Q1336" s="56"/>
      <c r="R1336" s="56"/>
      <c r="S1336" s="56"/>
      <c r="T1336" s="56"/>
      <c r="U1336" s="56"/>
      <c r="V1336" s="56"/>
      <c r="W1336" s="56"/>
      <c r="X1336" s="56"/>
      <c r="Y1336" s="56"/>
      <c r="Z1336" s="56"/>
      <c r="AA1336" s="56"/>
      <c r="AB1336" s="56"/>
    </row>
    <row r="1337" ht="21.0" customHeight="1">
      <c r="A1337" s="55"/>
      <c r="B1337" s="60"/>
      <c r="C1337" s="60"/>
      <c r="D1337" s="57"/>
      <c r="E1337" s="57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  <c r="S1337" s="56"/>
      <c r="T1337" s="56"/>
      <c r="U1337" s="56"/>
      <c r="V1337" s="56"/>
      <c r="W1337" s="56"/>
      <c r="X1337" s="56"/>
      <c r="Y1337" s="56"/>
      <c r="Z1337" s="56"/>
      <c r="AA1337" s="56"/>
      <c r="AB1337" s="56"/>
    </row>
    <row r="1338" ht="21.0" customHeight="1">
      <c r="A1338" s="55"/>
      <c r="B1338" s="60"/>
      <c r="C1338" s="60"/>
      <c r="D1338" s="57"/>
      <c r="E1338" s="57"/>
      <c r="F1338" s="56"/>
      <c r="G1338" s="56"/>
      <c r="H1338" s="56"/>
      <c r="I1338" s="56"/>
      <c r="J1338" s="56"/>
      <c r="K1338" s="56"/>
      <c r="L1338" s="56"/>
      <c r="M1338" s="56"/>
      <c r="N1338" s="56"/>
      <c r="O1338" s="56"/>
      <c r="P1338" s="56"/>
      <c r="Q1338" s="56"/>
      <c r="R1338" s="56"/>
      <c r="S1338" s="56"/>
      <c r="T1338" s="56"/>
      <c r="U1338" s="56"/>
      <c r="V1338" s="56"/>
      <c r="W1338" s="56"/>
      <c r="X1338" s="56"/>
      <c r="Y1338" s="56"/>
      <c r="Z1338" s="56"/>
      <c r="AA1338" s="56"/>
      <c r="AB1338" s="56"/>
    </row>
    <row r="1339" ht="21.0" customHeight="1">
      <c r="A1339" s="55"/>
      <c r="B1339" s="60"/>
      <c r="C1339" s="60"/>
      <c r="D1339" s="57"/>
      <c r="E1339" s="57"/>
      <c r="F1339" s="56"/>
      <c r="G1339" s="56"/>
      <c r="H1339" s="56"/>
      <c r="I1339" s="56"/>
      <c r="J1339" s="56"/>
      <c r="K1339" s="56"/>
      <c r="L1339" s="56"/>
      <c r="M1339" s="56"/>
      <c r="N1339" s="56"/>
      <c r="O1339" s="56"/>
      <c r="P1339" s="56"/>
      <c r="Q1339" s="56"/>
      <c r="R1339" s="56"/>
      <c r="S1339" s="56"/>
      <c r="T1339" s="56"/>
      <c r="U1339" s="56"/>
      <c r="V1339" s="56"/>
      <c r="W1339" s="56"/>
      <c r="X1339" s="56"/>
      <c r="Y1339" s="56"/>
      <c r="Z1339" s="56"/>
      <c r="AA1339" s="56"/>
      <c r="AB1339" s="56"/>
    </row>
    <row r="1340" ht="21.0" customHeight="1">
      <c r="A1340" s="55"/>
      <c r="B1340" s="60"/>
      <c r="C1340" s="60"/>
      <c r="D1340" s="57"/>
      <c r="E1340" s="57"/>
      <c r="F1340" s="56"/>
      <c r="G1340" s="56"/>
      <c r="H1340" s="56"/>
      <c r="I1340" s="56"/>
      <c r="J1340" s="56"/>
      <c r="K1340" s="56"/>
      <c r="L1340" s="56"/>
      <c r="M1340" s="56"/>
      <c r="N1340" s="56"/>
      <c r="O1340" s="56"/>
      <c r="P1340" s="56"/>
      <c r="Q1340" s="56"/>
      <c r="R1340" s="56"/>
      <c r="S1340" s="56"/>
      <c r="T1340" s="56"/>
      <c r="U1340" s="56"/>
      <c r="V1340" s="56"/>
      <c r="W1340" s="56"/>
      <c r="X1340" s="56"/>
      <c r="Y1340" s="56"/>
      <c r="Z1340" s="56"/>
      <c r="AA1340" s="56"/>
      <c r="AB1340" s="56"/>
    </row>
    <row r="1341" ht="21.0" customHeight="1">
      <c r="A1341" s="55"/>
      <c r="B1341" s="60"/>
      <c r="C1341" s="60"/>
      <c r="D1341" s="57"/>
      <c r="E1341" s="57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  <c r="S1341" s="56"/>
      <c r="T1341" s="56"/>
      <c r="U1341" s="56"/>
      <c r="V1341" s="56"/>
      <c r="W1341" s="56"/>
      <c r="X1341" s="56"/>
      <c r="Y1341" s="56"/>
      <c r="Z1341" s="56"/>
      <c r="AA1341" s="56"/>
      <c r="AB1341" s="56"/>
    </row>
    <row r="1342" ht="21.0" customHeight="1">
      <c r="A1342" s="55"/>
      <c r="B1342" s="60"/>
      <c r="C1342" s="60"/>
      <c r="D1342" s="57"/>
      <c r="E1342" s="57"/>
      <c r="F1342" s="56"/>
      <c r="G1342" s="56"/>
      <c r="H1342" s="56"/>
      <c r="I1342" s="56"/>
      <c r="J1342" s="56"/>
      <c r="K1342" s="56"/>
      <c r="L1342" s="56"/>
      <c r="M1342" s="56"/>
      <c r="N1342" s="56"/>
      <c r="O1342" s="56"/>
      <c r="P1342" s="56"/>
      <c r="Q1342" s="56"/>
      <c r="R1342" s="56"/>
      <c r="S1342" s="56"/>
      <c r="T1342" s="56"/>
      <c r="U1342" s="56"/>
      <c r="V1342" s="56"/>
      <c r="W1342" s="56"/>
      <c r="X1342" s="56"/>
      <c r="Y1342" s="56"/>
      <c r="Z1342" s="56"/>
      <c r="AA1342" s="56"/>
      <c r="AB1342" s="56"/>
    </row>
    <row r="1343" ht="21.0" customHeight="1">
      <c r="A1343" s="55"/>
      <c r="B1343" s="60"/>
      <c r="C1343" s="60"/>
      <c r="D1343" s="57"/>
      <c r="E1343" s="57"/>
      <c r="F1343" s="56"/>
      <c r="G1343" s="56"/>
      <c r="H1343" s="56"/>
      <c r="I1343" s="56"/>
      <c r="J1343" s="56"/>
      <c r="K1343" s="56"/>
      <c r="L1343" s="56"/>
      <c r="M1343" s="56"/>
      <c r="N1343" s="56"/>
      <c r="O1343" s="56"/>
      <c r="P1343" s="56"/>
      <c r="Q1343" s="56"/>
      <c r="R1343" s="56"/>
      <c r="S1343" s="56"/>
      <c r="T1343" s="56"/>
      <c r="U1343" s="56"/>
      <c r="V1343" s="56"/>
      <c r="W1343" s="56"/>
      <c r="X1343" s="56"/>
      <c r="Y1343" s="56"/>
      <c r="Z1343" s="56"/>
      <c r="AA1343" s="56"/>
      <c r="AB1343" s="56"/>
    </row>
    <row r="1344" ht="21.0" customHeight="1">
      <c r="A1344" s="55"/>
      <c r="B1344" s="60"/>
      <c r="C1344" s="60"/>
      <c r="D1344" s="57"/>
      <c r="E1344" s="57"/>
      <c r="F1344" s="56"/>
      <c r="G1344" s="56"/>
      <c r="H1344" s="56"/>
      <c r="I1344" s="56"/>
      <c r="J1344" s="56"/>
      <c r="K1344" s="56"/>
      <c r="L1344" s="56"/>
      <c r="M1344" s="56"/>
      <c r="N1344" s="56"/>
      <c r="O1344" s="56"/>
      <c r="P1344" s="56"/>
      <c r="Q1344" s="56"/>
      <c r="R1344" s="56"/>
      <c r="S1344" s="56"/>
      <c r="T1344" s="56"/>
      <c r="U1344" s="56"/>
      <c r="V1344" s="56"/>
      <c r="W1344" s="56"/>
      <c r="X1344" s="56"/>
      <c r="Y1344" s="56"/>
      <c r="Z1344" s="56"/>
      <c r="AA1344" s="56"/>
      <c r="AB1344" s="56"/>
    </row>
    <row r="1345" ht="21.0" customHeight="1">
      <c r="A1345" s="55"/>
      <c r="B1345" s="60"/>
      <c r="C1345" s="60"/>
      <c r="D1345" s="57"/>
      <c r="E1345" s="57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  <c r="S1345" s="56"/>
      <c r="T1345" s="56"/>
      <c r="U1345" s="56"/>
      <c r="V1345" s="56"/>
      <c r="W1345" s="56"/>
      <c r="X1345" s="56"/>
      <c r="Y1345" s="56"/>
      <c r="Z1345" s="56"/>
      <c r="AA1345" s="56"/>
      <c r="AB1345" s="56"/>
    </row>
    <row r="1346" ht="21.0" customHeight="1">
      <c r="A1346" s="55"/>
      <c r="B1346" s="60"/>
      <c r="C1346" s="60"/>
      <c r="D1346" s="57"/>
      <c r="E1346" s="57"/>
      <c r="F1346" s="56"/>
      <c r="G1346" s="56"/>
      <c r="H1346" s="56"/>
      <c r="I1346" s="56"/>
      <c r="J1346" s="56"/>
      <c r="K1346" s="56"/>
      <c r="L1346" s="56"/>
      <c r="M1346" s="56"/>
      <c r="N1346" s="56"/>
      <c r="O1346" s="56"/>
      <c r="P1346" s="56"/>
      <c r="Q1346" s="56"/>
      <c r="R1346" s="56"/>
      <c r="S1346" s="56"/>
      <c r="T1346" s="56"/>
      <c r="U1346" s="56"/>
      <c r="V1346" s="56"/>
      <c r="W1346" s="56"/>
      <c r="X1346" s="56"/>
      <c r="Y1346" s="56"/>
      <c r="Z1346" s="56"/>
      <c r="AA1346" s="56"/>
      <c r="AB1346" s="56"/>
    </row>
    <row r="1347" ht="21.0" customHeight="1">
      <c r="A1347" s="55"/>
      <c r="B1347" s="60"/>
      <c r="C1347" s="60"/>
      <c r="D1347" s="57"/>
      <c r="E1347" s="57"/>
      <c r="F1347" s="56"/>
      <c r="G1347" s="56"/>
      <c r="H1347" s="56"/>
      <c r="I1347" s="56"/>
      <c r="J1347" s="56"/>
      <c r="K1347" s="56"/>
      <c r="L1347" s="56"/>
      <c r="M1347" s="56"/>
      <c r="N1347" s="56"/>
      <c r="O1347" s="56"/>
      <c r="P1347" s="56"/>
      <c r="Q1347" s="56"/>
      <c r="R1347" s="56"/>
      <c r="S1347" s="56"/>
      <c r="T1347" s="56"/>
      <c r="U1347" s="56"/>
      <c r="V1347" s="56"/>
      <c r="W1347" s="56"/>
      <c r="X1347" s="56"/>
      <c r="Y1347" s="56"/>
      <c r="Z1347" s="56"/>
      <c r="AA1347" s="56"/>
      <c r="AB1347" s="56"/>
    </row>
    <row r="1348" ht="21.0" customHeight="1">
      <c r="A1348" s="55"/>
      <c r="B1348" s="60"/>
      <c r="C1348" s="60"/>
      <c r="D1348" s="57"/>
      <c r="E1348" s="57"/>
      <c r="F1348" s="56"/>
      <c r="G1348" s="56"/>
      <c r="H1348" s="56"/>
      <c r="I1348" s="56"/>
      <c r="J1348" s="56"/>
      <c r="K1348" s="56"/>
      <c r="L1348" s="56"/>
      <c r="M1348" s="56"/>
      <c r="N1348" s="56"/>
      <c r="O1348" s="56"/>
      <c r="P1348" s="56"/>
      <c r="Q1348" s="56"/>
      <c r="R1348" s="56"/>
      <c r="S1348" s="56"/>
      <c r="T1348" s="56"/>
      <c r="U1348" s="56"/>
      <c r="V1348" s="56"/>
      <c r="W1348" s="56"/>
      <c r="X1348" s="56"/>
      <c r="Y1348" s="56"/>
      <c r="Z1348" s="56"/>
      <c r="AA1348" s="56"/>
      <c r="AB1348" s="56"/>
    </row>
    <row r="1349" ht="21.0" customHeight="1">
      <c r="A1349" s="55"/>
      <c r="B1349" s="60"/>
      <c r="C1349" s="60"/>
      <c r="D1349" s="57"/>
      <c r="E1349" s="57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  <c r="S1349" s="56"/>
      <c r="T1349" s="56"/>
      <c r="U1349" s="56"/>
      <c r="V1349" s="56"/>
      <c r="W1349" s="56"/>
      <c r="X1349" s="56"/>
      <c r="Y1349" s="56"/>
      <c r="Z1349" s="56"/>
      <c r="AA1349" s="56"/>
      <c r="AB1349" s="56"/>
    </row>
    <row r="1350" ht="21.0" customHeight="1">
      <c r="A1350" s="55"/>
      <c r="B1350" s="60"/>
      <c r="C1350" s="60"/>
      <c r="D1350" s="57"/>
      <c r="E1350" s="57"/>
      <c r="F1350" s="56"/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  <c r="R1350" s="56"/>
      <c r="S1350" s="56"/>
      <c r="T1350" s="56"/>
      <c r="U1350" s="56"/>
      <c r="V1350" s="56"/>
      <c r="W1350" s="56"/>
      <c r="X1350" s="56"/>
      <c r="Y1350" s="56"/>
      <c r="Z1350" s="56"/>
      <c r="AA1350" s="56"/>
      <c r="AB1350" s="56"/>
    </row>
    <row r="1351" ht="21.0" customHeight="1">
      <c r="A1351" s="55"/>
      <c r="B1351" s="60"/>
      <c r="C1351" s="60"/>
      <c r="D1351" s="57"/>
      <c r="E1351" s="57"/>
      <c r="F1351" s="56"/>
      <c r="G1351" s="56"/>
      <c r="H1351" s="56"/>
      <c r="I1351" s="56"/>
      <c r="J1351" s="56"/>
      <c r="K1351" s="56"/>
      <c r="L1351" s="56"/>
      <c r="M1351" s="56"/>
      <c r="N1351" s="56"/>
      <c r="O1351" s="56"/>
      <c r="P1351" s="56"/>
      <c r="Q1351" s="56"/>
      <c r="R1351" s="56"/>
      <c r="S1351" s="56"/>
      <c r="T1351" s="56"/>
      <c r="U1351" s="56"/>
      <c r="V1351" s="56"/>
      <c r="W1351" s="56"/>
      <c r="X1351" s="56"/>
      <c r="Y1351" s="56"/>
      <c r="Z1351" s="56"/>
      <c r="AA1351" s="56"/>
      <c r="AB1351" s="56"/>
    </row>
    <row r="1352" ht="21.0" customHeight="1">
      <c r="A1352" s="55"/>
      <c r="B1352" s="60"/>
      <c r="C1352" s="60"/>
      <c r="D1352" s="57"/>
      <c r="E1352" s="57"/>
      <c r="F1352" s="56"/>
      <c r="G1352" s="56"/>
      <c r="H1352" s="56"/>
      <c r="I1352" s="56"/>
      <c r="J1352" s="56"/>
      <c r="K1352" s="56"/>
      <c r="L1352" s="56"/>
      <c r="M1352" s="56"/>
      <c r="N1352" s="56"/>
      <c r="O1352" s="56"/>
      <c r="P1352" s="56"/>
      <c r="Q1352" s="56"/>
      <c r="R1352" s="56"/>
      <c r="S1352" s="56"/>
      <c r="T1352" s="56"/>
      <c r="U1352" s="56"/>
      <c r="V1352" s="56"/>
      <c r="W1352" s="56"/>
      <c r="X1352" s="56"/>
      <c r="Y1352" s="56"/>
      <c r="Z1352" s="56"/>
      <c r="AA1352" s="56"/>
      <c r="AB1352" s="56"/>
    </row>
    <row r="1353" ht="21.0" customHeight="1">
      <c r="A1353" s="55"/>
      <c r="B1353" s="60"/>
      <c r="C1353" s="60"/>
      <c r="D1353" s="57"/>
      <c r="E1353" s="57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  <c r="S1353" s="56"/>
      <c r="T1353" s="56"/>
      <c r="U1353" s="56"/>
      <c r="V1353" s="56"/>
      <c r="W1353" s="56"/>
      <c r="X1353" s="56"/>
      <c r="Y1353" s="56"/>
      <c r="Z1353" s="56"/>
      <c r="AA1353" s="56"/>
      <c r="AB1353" s="56"/>
    </row>
    <row r="1354" ht="21.0" customHeight="1">
      <c r="A1354" s="55"/>
      <c r="B1354" s="60"/>
      <c r="C1354" s="60"/>
      <c r="D1354" s="57"/>
      <c r="E1354" s="57"/>
      <c r="F1354" s="56"/>
      <c r="G1354" s="56"/>
      <c r="H1354" s="56"/>
      <c r="I1354" s="56"/>
      <c r="J1354" s="56"/>
      <c r="K1354" s="56"/>
      <c r="L1354" s="56"/>
      <c r="M1354" s="56"/>
      <c r="N1354" s="56"/>
      <c r="O1354" s="56"/>
      <c r="P1354" s="56"/>
      <c r="Q1354" s="56"/>
      <c r="R1354" s="56"/>
      <c r="S1354" s="56"/>
      <c r="T1354" s="56"/>
      <c r="U1354" s="56"/>
      <c r="V1354" s="56"/>
      <c r="W1354" s="56"/>
      <c r="X1354" s="56"/>
      <c r="Y1354" s="56"/>
      <c r="Z1354" s="56"/>
      <c r="AA1354" s="56"/>
      <c r="AB1354" s="56"/>
    </row>
    <row r="1355" ht="21.0" customHeight="1">
      <c r="A1355" s="55"/>
      <c r="B1355" s="60"/>
      <c r="C1355" s="60"/>
      <c r="D1355" s="57"/>
      <c r="E1355" s="57"/>
      <c r="F1355" s="56"/>
      <c r="G1355" s="56"/>
      <c r="H1355" s="56"/>
      <c r="I1355" s="56"/>
      <c r="J1355" s="56"/>
      <c r="K1355" s="56"/>
      <c r="L1355" s="56"/>
      <c r="M1355" s="56"/>
      <c r="N1355" s="56"/>
      <c r="O1355" s="56"/>
      <c r="P1355" s="56"/>
      <c r="Q1355" s="56"/>
      <c r="R1355" s="56"/>
      <c r="S1355" s="56"/>
      <c r="T1355" s="56"/>
      <c r="U1355" s="56"/>
      <c r="V1355" s="56"/>
      <c r="W1355" s="56"/>
      <c r="X1355" s="56"/>
      <c r="Y1355" s="56"/>
      <c r="Z1355" s="56"/>
      <c r="AA1355" s="56"/>
      <c r="AB1355" s="56"/>
    </row>
    <row r="1356" ht="21.0" customHeight="1">
      <c r="A1356" s="55"/>
      <c r="B1356" s="60"/>
      <c r="C1356" s="60"/>
      <c r="D1356" s="57"/>
      <c r="E1356" s="57"/>
      <c r="F1356" s="56"/>
      <c r="G1356" s="56"/>
      <c r="H1356" s="56"/>
      <c r="I1356" s="56"/>
      <c r="J1356" s="56"/>
      <c r="K1356" s="56"/>
      <c r="L1356" s="56"/>
      <c r="M1356" s="56"/>
      <c r="N1356" s="56"/>
      <c r="O1356" s="56"/>
      <c r="P1356" s="56"/>
      <c r="Q1356" s="56"/>
      <c r="R1356" s="56"/>
      <c r="S1356" s="56"/>
      <c r="T1356" s="56"/>
      <c r="U1356" s="56"/>
      <c r="V1356" s="56"/>
      <c r="W1356" s="56"/>
      <c r="X1356" s="56"/>
      <c r="Y1356" s="56"/>
      <c r="Z1356" s="56"/>
      <c r="AA1356" s="56"/>
      <c r="AB1356" s="56"/>
    </row>
    <row r="1357" ht="21.0" customHeight="1">
      <c r="A1357" s="55"/>
      <c r="B1357" s="60"/>
      <c r="C1357" s="60"/>
      <c r="D1357" s="57"/>
      <c r="E1357" s="57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  <c r="S1357" s="56"/>
      <c r="T1357" s="56"/>
      <c r="U1357" s="56"/>
      <c r="V1357" s="56"/>
      <c r="W1357" s="56"/>
      <c r="X1357" s="56"/>
      <c r="Y1357" s="56"/>
      <c r="Z1357" s="56"/>
      <c r="AA1357" s="56"/>
      <c r="AB1357" s="56"/>
    </row>
    <row r="1358" ht="21.0" customHeight="1">
      <c r="A1358" s="55"/>
      <c r="B1358" s="60"/>
      <c r="C1358" s="60"/>
      <c r="D1358" s="57"/>
      <c r="E1358" s="57"/>
      <c r="F1358" s="56"/>
      <c r="G1358" s="56"/>
      <c r="H1358" s="56"/>
      <c r="I1358" s="56"/>
      <c r="J1358" s="56"/>
      <c r="K1358" s="56"/>
      <c r="L1358" s="56"/>
      <c r="M1358" s="56"/>
      <c r="N1358" s="56"/>
      <c r="O1358" s="56"/>
      <c r="P1358" s="56"/>
      <c r="Q1358" s="56"/>
      <c r="R1358" s="56"/>
      <c r="S1358" s="56"/>
      <c r="T1358" s="56"/>
      <c r="U1358" s="56"/>
      <c r="V1358" s="56"/>
      <c r="W1358" s="56"/>
      <c r="X1358" s="56"/>
      <c r="Y1358" s="56"/>
      <c r="Z1358" s="56"/>
      <c r="AA1358" s="56"/>
      <c r="AB1358" s="56"/>
    </row>
    <row r="1359" ht="21.0" customHeight="1">
      <c r="A1359" s="55"/>
      <c r="B1359" s="60"/>
      <c r="C1359" s="60"/>
      <c r="D1359" s="57"/>
      <c r="E1359" s="57"/>
      <c r="F1359" s="56"/>
      <c r="G1359" s="56"/>
      <c r="H1359" s="56"/>
      <c r="I1359" s="56"/>
      <c r="J1359" s="56"/>
      <c r="K1359" s="56"/>
      <c r="L1359" s="56"/>
      <c r="M1359" s="56"/>
      <c r="N1359" s="56"/>
      <c r="O1359" s="56"/>
      <c r="P1359" s="56"/>
      <c r="Q1359" s="56"/>
      <c r="R1359" s="56"/>
      <c r="S1359" s="56"/>
      <c r="T1359" s="56"/>
      <c r="U1359" s="56"/>
      <c r="V1359" s="56"/>
      <c r="W1359" s="56"/>
      <c r="X1359" s="56"/>
      <c r="Y1359" s="56"/>
      <c r="Z1359" s="56"/>
      <c r="AA1359" s="56"/>
      <c r="AB1359" s="56"/>
    </row>
    <row r="1360" ht="21.0" customHeight="1">
      <c r="A1360" s="55"/>
      <c r="B1360" s="60"/>
      <c r="C1360" s="60"/>
      <c r="D1360" s="57"/>
      <c r="E1360" s="57"/>
      <c r="F1360" s="56"/>
      <c r="G1360" s="56"/>
      <c r="H1360" s="56"/>
      <c r="I1360" s="56"/>
      <c r="J1360" s="56"/>
      <c r="K1360" s="56"/>
      <c r="L1360" s="56"/>
      <c r="M1360" s="56"/>
      <c r="N1360" s="56"/>
      <c r="O1360" s="56"/>
      <c r="P1360" s="56"/>
      <c r="Q1360" s="56"/>
      <c r="R1360" s="56"/>
      <c r="S1360" s="56"/>
      <c r="T1360" s="56"/>
      <c r="U1360" s="56"/>
      <c r="V1360" s="56"/>
      <c r="W1360" s="56"/>
      <c r="X1360" s="56"/>
      <c r="Y1360" s="56"/>
      <c r="Z1360" s="56"/>
      <c r="AA1360" s="56"/>
      <c r="AB1360" s="56"/>
    </row>
    <row r="1361" ht="21.0" customHeight="1">
      <c r="A1361" s="55"/>
      <c r="B1361" s="60"/>
      <c r="C1361" s="60"/>
      <c r="D1361" s="57"/>
      <c r="E1361" s="57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  <c r="S1361" s="56"/>
      <c r="T1361" s="56"/>
      <c r="U1361" s="56"/>
      <c r="V1361" s="56"/>
      <c r="W1361" s="56"/>
      <c r="X1361" s="56"/>
      <c r="Y1361" s="56"/>
      <c r="Z1361" s="56"/>
      <c r="AA1361" s="56"/>
      <c r="AB1361" s="56"/>
    </row>
    <row r="1362" ht="21.0" customHeight="1">
      <c r="A1362" s="55"/>
      <c r="B1362" s="60"/>
      <c r="C1362" s="60"/>
      <c r="D1362" s="57"/>
      <c r="E1362" s="57"/>
      <c r="F1362" s="56"/>
      <c r="G1362" s="56"/>
      <c r="H1362" s="56"/>
      <c r="I1362" s="56"/>
      <c r="J1362" s="56"/>
      <c r="K1362" s="56"/>
      <c r="L1362" s="56"/>
      <c r="M1362" s="56"/>
      <c r="N1362" s="56"/>
      <c r="O1362" s="56"/>
      <c r="P1362" s="56"/>
      <c r="Q1362" s="56"/>
      <c r="R1362" s="56"/>
      <c r="S1362" s="56"/>
      <c r="T1362" s="56"/>
      <c r="U1362" s="56"/>
      <c r="V1362" s="56"/>
      <c r="W1362" s="56"/>
      <c r="X1362" s="56"/>
      <c r="Y1362" s="56"/>
      <c r="Z1362" s="56"/>
      <c r="AA1362" s="56"/>
      <c r="AB1362" s="56"/>
    </row>
    <row r="1363" ht="21.0" customHeight="1">
      <c r="A1363" s="55"/>
      <c r="B1363" s="60"/>
      <c r="C1363" s="60"/>
      <c r="D1363" s="57"/>
      <c r="E1363" s="57"/>
      <c r="F1363" s="56"/>
      <c r="G1363" s="56"/>
      <c r="H1363" s="56"/>
      <c r="I1363" s="56"/>
      <c r="J1363" s="56"/>
      <c r="K1363" s="56"/>
      <c r="L1363" s="56"/>
      <c r="M1363" s="56"/>
      <c r="N1363" s="56"/>
      <c r="O1363" s="56"/>
      <c r="P1363" s="56"/>
      <c r="Q1363" s="56"/>
      <c r="R1363" s="56"/>
      <c r="S1363" s="56"/>
      <c r="T1363" s="56"/>
      <c r="U1363" s="56"/>
      <c r="V1363" s="56"/>
      <c r="W1363" s="56"/>
      <c r="X1363" s="56"/>
      <c r="Y1363" s="56"/>
      <c r="Z1363" s="56"/>
      <c r="AA1363" s="56"/>
      <c r="AB1363" s="56"/>
    </row>
    <row r="1364" ht="21.0" customHeight="1">
      <c r="A1364" s="55"/>
      <c r="B1364" s="60"/>
      <c r="C1364" s="60"/>
      <c r="D1364" s="57"/>
      <c r="E1364" s="57"/>
      <c r="F1364" s="56"/>
      <c r="G1364" s="56"/>
      <c r="H1364" s="56"/>
      <c r="I1364" s="56"/>
      <c r="J1364" s="56"/>
      <c r="K1364" s="56"/>
      <c r="L1364" s="56"/>
      <c r="M1364" s="56"/>
      <c r="N1364" s="56"/>
      <c r="O1364" s="56"/>
      <c r="P1364" s="56"/>
      <c r="Q1364" s="56"/>
      <c r="R1364" s="56"/>
      <c r="S1364" s="56"/>
      <c r="T1364" s="56"/>
      <c r="U1364" s="56"/>
      <c r="V1364" s="56"/>
      <c r="W1364" s="56"/>
      <c r="X1364" s="56"/>
      <c r="Y1364" s="56"/>
      <c r="Z1364" s="56"/>
      <c r="AA1364" s="56"/>
      <c r="AB1364" s="56"/>
    </row>
    <row r="1365" ht="21.0" customHeight="1">
      <c r="A1365" s="55"/>
      <c r="B1365" s="60"/>
      <c r="C1365" s="60"/>
      <c r="D1365" s="57"/>
      <c r="E1365" s="57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  <c r="S1365" s="56"/>
      <c r="T1365" s="56"/>
      <c r="U1365" s="56"/>
      <c r="V1365" s="56"/>
      <c r="W1365" s="56"/>
      <c r="X1365" s="56"/>
      <c r="Y1365" s="56"/>
      <c r="Z1365" s="56"/>
      <c r="AA1365" s="56"/>
      <c r="AB1365" s="56"/>
    </row>
    <row r="1366" ht="21.0" customHeight="1">
      <c r="A1366" s="55"/>
      <c r="B1366" s="60"/>
      <c r="C1366" s="60"/>
      <c r="D1366" s="57"/>
      <c r="E1366" s="57"/>
      <c r="F1366" s="56"/>
      <c r="G1366" s="56"/>
      <c r="H1366" s="56"/>
      <c r="I1366" s="56"/>
      <c r="J1366" s="56"/>
      <c r="K1366" s="56"/>
      <c r="L1366" s="56"/>
      <c r="M1366" s="56"/>
      <c r="N1366" s="56"/>
      <c r="O1366" s="56"/>
      <c r="P1366" s="56"/>
      <c r="Q1366" s="56"/>
      <c r="R1366" s="56"/>
      <c r="S1366" s="56"/>
      <c r="T1366" s="56"/>
      <c r="U1366" s="56"/>
      <c r="V1366" s="56"/>
      <c r="W1366" s="56"/>
      <c r="X1366" s="56"/>
      <c r="Y1366" s="56"/>
      <c r="Z1366" s="56"/>
      <c r="AA1366" s="56"/>
      <c r="AB1366" s="56"/>
    </row>
    <row r="1367" ht="21.0" customHeight="1">
      <c r="A1367" s="55"/>
      <c r="B1367" s="60"/>
      <c r="C1367" s="60"/>
      <c r="D1367" s="57"/>
      <c r="E1367" s="57"/>
      <c r="F1367" s="56"/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  <c r="R1367" s="56"/>
      <c r="S1367" s="56"/>
      <c r="T1367" s="56"/>
      <c r="U1367" s="56"/>
      <c r="V1367" s="56"/>
      <c r="W1367" s="56"/>
      <c r="X1367" s="56"/>
      <c r="Y1367" s="56"/>
      <c r="Z1367" s="56"/>
      <c r="AA1367" s="56"/>
      <c r="AB1367" s="56"/>
    </row>
    <row r="1368" ht="21.0" customHeight="1">
      <c r="A1368" s="55"/>
      <c r="B1368" s="60"/>
      <c r="C1368" s="60"/>
      <c r="D1368" s="57"/>
      <c r="E1368" s="57"/>
      <c r="F1368" s="56"/>
      <c r="G1368" s="56"/>
      <c r="H1368" s="56"/>
      <c r="I1368" s="56"/>
      <c r="J1368" s="56"/>
      <c r="K1368" s="56"/>
      <c r="L1368" s="56"/>
      <c r="M1368" s="56"/>
      <c r="N1368" s="56"/>
      <c r="O1368" s="56"/>
      <c r="P1368" s="56"/>
      <c r="Q1368" s="56"/>
      <c r="R1368" s="56"/>
      <c r="S1368" s="56"/>
      <c r="T1368" s="56"/>
      <c r="U1368" s="56"/>
      <c r="V1368" s="56"/>
      <c r="W1368" s="56"/>
      <c r="X1368" s="56"/>
      <c r="Y1368" s="56"/>
      <c r="Z1368" s="56"/>
      <c r="AA1368" s="56"/>
      <c r="AB1368" s="56"/>
    </row>
    <row r="1369" ht="21.0" customHeight="1">
      <c r="A1369" s="55"/>
      <c r="B1369" s="60"/>
      <c r="C1369" s="60"/>
      <c r="D1369" s="57"/>
      <c r="E1369" s="57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  <c r="S1369" s="56"/>
      <c r="T1369" s="56"/>
      <c r="U1369" s="56"/>
      <c r="V1369" s="56"/>
      <c r="W1369" s="56"/>
      <c r="X1369" s="56"/>
      <c r="Y1369" s="56"/>
      <c r="Z1369" s="56"/>
      <c r="AA1369" s="56"/>
      <c r="AB1369" s="56"/>
    </row>
    <row r="1370" ht="21.0" customHeight="1">
      <c r="A1370" s="55"/>
      <c r="B1370" s="60"/>
      <c r="C1370" s="60"/>
      <c r="D1370" s="57"/>
      <c r="E1370" s="57"/>
      <c r="F1370" s="56"/>
      <c r="G1370" s="56"/>
      <c r="H1370" s="56"/>
      <c r="I1370" s="56"/>
      <c r="J1370" s="56"/>
      <c r="K1370" s="56"/>
      <c r="L1370" s="56"/>
      <c r="M1370" s="56"/>
      <c r="N1370" s="56"/>
      <c r="O1370" s="56"/>
      <c r="P1370" s="56"/>
      <c r="Q1370" s="56"/>
      <c r="R1370" s="56"/>
      <c r="S1370" s="56"/>
      <c r="T1370" s="56"/>
      <c r="U1370" s="56"/>
      <c r="V1370" s="56"/>
      <c r="W1370" s="56"/>
      <c r="X1370" s="56"/>
      <c r="Y1370" s="56"/>
      <c r="Z1370" s="56"/>
      <c r="AA1370" s="56"/>
      <c r="AB1370" s="56"/>
    </row>
    <row r="1371" ht="21.0" customHeight="1">
      <c r="A1371" s="55"/>
      <c r="B1371" s="60"/>
      <c r="C1371" s="60"/>
      <c r="D1371" s="57"/>
      <c r="E1371" s="57"/>
      <c r="F1371" s="56"/>
      <c r="G1371" s="56"/>
      <c r="H1371" s="56"/>
      <c r="I1371" s="56"/>
      <c r="J1371" s="56"/>
      <c r="K1371" s="56"/>
      <c r="L1371" s="56"/>
      <c r="M1371" s="56"/>
      <c r="N1371" s="56"/>
      <c r="O1371" s="56"/>
      <c r="P1371" s="56"/>
      <c r="Q1371" s="56"/>
      <c r="R1371" s="56"/>
      <c r="S1371" s="56"/>
      <c r="T1371" s="56"/>
      <c r="U1371" s="56"/>
      <c r="V1371" s="56"/>
      <c r="W1371" s="56"/>
      <c r="X1371" s="56"/>
      <c r="Y1371" s="56"/>
      <c r="Z1371" s="56"/>
      <c r="AA1371" s="56"/>
      <c r="AB1371" s="56"/>
    </row>
    <row r="1372" ht="21.0" customHeight="1">
      <c r="A1372" s="55"/>
      <c r="B1372" s="60"/>
      <c r="C1372" s="60"/>
      <c r="D1372" s="57"/>
      <c r="E1372" s="57"/>
      <c r="F1372" s="56"/>
      <c r="G1372" s="56"/>
      <c r="H1372" s="56"/>
      <c r="I1372" s="56"/>
      <c r="J1372" s="56"/>
      <c r="K1372" s="56"/>
      <c r="L1372" s="56"/>
      <c r="M1372" s="56"/>
      <c r="N1372" s="56"/>
      <c r="O1372" s="56"/>
      <c r="P1372" s="56"/>
      <c r="Q1372" s="56"/>
      <c r="R1372" s="56"/>
      <c r="S1372" s="56"/>
      <c r="T1372" s="56"/>
      <c r="U1372" s="56"/>
      <c r="V1372" s="56"/>
      <c r="W1372" s="56"/>
      <c r="X1372" s="56"/>
      <c r="Y1372" s="56"/>
      <c r="Z1372" s="56"/>
      <c r="AA1372" s="56"/>
      <c r="AB1372" s="56"/>
    </row>
    <row r="1373" ht="21.0" customHeight="1">
      <c r="A1373" s="55"/>
      <c r="B1373" s="60"/>
      <c r="C1373" s="60"/>
      <c r="D1373" s="57"/>
      <c r="E1373" s="57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  <c r="S1373" s="56"/>
      <c r="T1373" s="56"/>
      <c r="U1373" s="56"/>
      <c r="V1373" s="56"/>
      <c r="W1373" s="56"/>
      <c r="X1373" s="56"/>
      <c r="Y1373" s="56"/>
      <c r="Z1373" s="56"/>
      <c r="AA1373" s="56"/>
      <c r="AB1373" s="56"/>
    </row>
    <row r="1374" ht="21.0" customHeight="1">
      <c r="A1374" s="55"/>
      <c r="B1374" s="60"/>
      <c r="C1374" s="60"/>
      <c r="D1374" s="57"/>
      <c r="E1374" s="57"/>
      <c r="F1374" s="56"/>
      <c r="G1374" s="56"/>
      <c r="H1374" s="56"/>
      <c r="I1374" s="56"/>
      <c r="J1374" s="56"/>
      <c r="K1374" s="56"/>
      <c r="L1374" s="56"/>
      <c r="M1374" s="56"/>
      <c r="N1374" s="56"/>
      <c r="O1374" s="56"/>
      <c r="P1374" s="56"/>
      <c r="Q1374" s="56"/>
      <c r="R1374" s="56"/>
      <c r="S1374" s="56"/>
      <c r="T1374" s="56"/>
      <c r="U1374" s="56"/>
      <c r="V1374" s="56"/>
      <c r="W1374" s="56"/>
      <c r="X1374" s="56"/>
      <c r="Y1374" s="56"/>
      <c r="Z1374" s="56"/>
      <c r="AA1374" s="56"/>
      <c r="AB1374" s="56"/>
    </row>
    <row r="1375" ht="21.0" customHeight="1">
      <c r="A1375" s="55"/>
      <c r="B1375" s="60"/>
      <c r="C1375" s="60"/>
      <c r="D1375" s="57"/>
      <c r="E1375" s="57"/>
      <c r="F1375" s="56"/>
      <c r="G1375" s="56"/>
      <c r="H1375" s="56"/>
      <c r="I1375" s="56"/>
      <c r="J1375" s="56"/>
      <c r="K1375" s="56"/>
      <c r="L1375" s="56"/>
      <c r="M1375" s="56"/>
      <c r="N1375" s="56"/>
      <c r="O1375" s="56"/>
      <c r="P1375" s="56"/>
      <c r="Q1375" s="56"/>
      <c r="R1375" s="56"/>
      <c r="S1375" s="56"/>
      <c r="T1375" s="56"/>
      <c r="U1375" s="56"/>
      <c r="V1375" s="56"/>
      <c r="W1375" s="56"/>
      <c r="X1375" s="56"/>
      <c r="Y1375" s="56"/>
      <c r="Z1375" s="56"/>
      <c r="AA1375" s="56"/>
      <c r="AB1375" s="56"/>
    </row>
    <row r="1376" ht="21.0" customHeight="1">
      <c r="A1376" s="55"/>
      <c r="B1376" s="60"/>
      <c r="C1376" s="60"/>
      <c r="D1376" s="57"/>
      <c r="E1376" s="57"/>
      <c r="F1376" s="56"/>
      <c r="G1376" s="56"/>
      <c r="H1376" s="56"/>
      <c r="I1376" s="56"/>
      <c r="J1376" s="56"/>
      <c r="K1376" s="56"/>
      <c r="L1376" s="56"/>
      <c r="M1376" s="56"/>
      <c r="N1376" s="56"/>
      <c r="O1376" s="56"/>
      <c r="P1376" s="56"/>
      <c r="Q1376" s="56"/>
      <c r="R1376" s="56"/>
      <c r="S1376" s="56"/>
      <c r="T1376" s="56"/>
      <c r="U1376" s="56"/>
      <c r="V1376" s="56"/>
      <c r="W1376" s="56"/>
      <c r="X1376" s="56"/>
      <c r="Y1376" s="56"/>
      <c r="Z1376" s="56"/>
      <c r="AA1376" s="56"/>
      <c r="AB1376" s="56"/>
    </row>
    <row r="1377" ht="21.0" customHeight="1">
      <c r="A1377" s="55"/>
      <c r="B1377" s="60"/>
      <c r="C1377" s="60"/>
      <c r="D1377" s="57"/>
      <c r="E1377" s="57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  <c r="S1377" s="56"/>
      <c r="T1377" s="56"/>
      <c r="U1377" s="56"/>
      <c r="V1377" s="56"/>
      <c r="W1377" s="56"/>
      <c r="X1377" s="56"/>
      <c r="Y1377" s="56"/>
      <c r="Z1377" s="56"/>
      <c r="AA1377" s="56"/>
      <c r="AB1377" s="56"/>
    </row>
    <row r="1378" ht="21.0" customHeight="1">
      <c r="A1378" s="55"/>
      <c r="B1378" s="60"/>
      <c r="C1378" s="60"/>
      <c r="D1378" s="57"/>
      <c r="E1378" s="57"/>
      <c r="F1378" s="56"/>
      <c r="G1378" s="56"/>
      <c r="H1378" s="56"/>
      <c r="I1378" s="56"/>
      <c r="J1378" s="56"/>
      <c r="K1378" s="56"/>
      <c r="L1378" s="56"/>
      <c r="M1378" s="56"/>
      <c r="N1378" s="56"/>
      <c r="O1378" s="56"/>
      <c r="P1378" s="56"/>
      <c r="Q1378" s="56"/>
      <c r="R1378" s="56"/>
      <c r="S1378" s="56"/>
      <c r="T1378" s="56"/>
      <c r="U1378" s="56"/>
      <c r="V1378" s="56"/>
      <c r="W1378" s="56"/>
      <c r="X1378" s="56"/>
      <c r="Y1378" s="56"/>
      <c r="Z1378" s="56"/>
      <c r="AA1378" s="56"/>
      <c r="AB1378" s="56"/>
    </row>
    <row r="1379" ht="21.0" customHeight="1">
      <c r="A1379" s="55"/>
      <c r="B1379" s="60"/>
      <c r="C1379" s="60"/>
      <c r="D1379" s="57"/>
      <c r="E1379" s="57"/>
      <c r="F1379" s="56"/>
      <c r="G1379" s="56"/>
      <c r="H1379" s="56"/>
      <c r="I1379" s="56"/>
      <c r="J1379" s="56"/>
      <c r="K1379" s="56"/>
      <c r="L1379" s="56"/>
      <c r="M1379" s="56"/>
      <c r="N1379" s="56"/>
      <c r="O1379" s="56"/>
      <c r="P1379" s="56"/>
      <c r="Q1379" s="56"/>
      <c r="R1379" s="56"/>
      <c r="S1379" s="56"/>
      <c r="T1379" s="56"/>
      <c r="U1379" s="56"/>
      <c r="V1379" s="56"/>
      <c r="W1379" s="56"/>
      <c r="X1379" s="56"/>
      <c r="Y1379" s="56"/>
      <c r="Z1379" s="56"/>
      <c r="AA1379" s="56"/>
      <c r="AB1379" s="56"/>
    </row>
    <row r="1380" ht="21.0" customHeight="1">
      <c r="A1380" s="55"/>
      <c r="B1380" s="60"/>
      <c r="C1380" s="60"/>
      <c r="D1380" s="57"/>
      <c r="E1380" s="57"/>
      <c r="F1380" s="56"/>
      <c r="G1380" s="56"/>
      <c r="H1380" s="56"/>
      <c r="I1380" s="56"/>
      <c r="J1380" s="56"/>
      <c r="K1380" s="56"/>
      <c r="L1380" s="56"/>
      <c r="M1380" s="56"/>
      <c r="N1380" s="56"/>
      <c r="O1380" s="56"/>
      <c r="P1380" s="56"/>
      <c r="Q1380" s="56"/>
      <c r="R1380" s="56"/>
      <c r="S1380" s="56"/>
      <c r="T1380" s="56"/>
      <c r="U1380" s="56"/>
      <c r="V1380" s="56"/>
      <c r="W1380" s="56"/>
      <c r="X1380" s="56"/>
      <c r="Y1380" s="56"/>
      <c r="Z1380" s="56"/>
      <c r="AA1380" s="56"/>
      <c r="AB1380" s="56"/>
    </row>
    <row r="1381" ht="21.0" customHeight="1">
      <c r="A1381" s="55"/>
      <c r="B1381" s="60"/>
      <c r="C1381" s="60"/>
      <c r="D1381" s="57"/>
      <c r="E1381" s="57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  <c r="S1381" s="56"/>
      <c r="T1381" s="56"/>
      <c r="U1381" s="56"/>
      <c r="V1381" s="56"/>
      <c r="W1381" s="56"/>
      <c r="X1381" s="56"/>
      <c r="Y1381" s="56"/>
      <c r="Z1381" s="56"/>
      <c r="AA1381" s="56"/>
      <c r="AB1381" s="56"/>
    </row>
    <row r="1382" ht="21.0" customHeight="1">
      <c r="A1382" s="55"/>
      <c r="B1382" s="60"/>
      <c r="C1382" s="60"/>
      <c r="D1382" s="57"/>
      <c r="E1382" s="57"/>
      <c r="F1382" s="56"/>
      <c r="G1382" s="56"/>
      <c r="H1382" s="56"/>
      <c r="I1382" s="56"/>
      <c r="J1382" s="56"/>
      <c r="K1382" s="56"/>
      <c r="L1382" s="56"/>
      <c r="M1382" s="56"/>
      <c r="N1382" s="56"/>
      <c r="O1382" s="56"/>
      <c r="P1382" s="56"/>
      <c r="Q1382" s="56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</row>
    <row r="1383" ht="21.0" customHeight="1">
      <c r="A1383" s="55"/>
      <c r="B1383" s="60"/>
      <c r="C1383" s="60"/>
      <c r="D1383" s="57"/>
      <c r="E1383" s="57"/>
      <c r="F1383" s="56"/>
      <c r="G1383" s="56"/>
      <c r="H1383" s="56"/>
      <c r="I1383" s="56"/>
      <c r="J1383" s="56"/>
      <c r="K1383" s="56"/>
      <c r="L1383" s="56"/>
      <c r="M1383" s="56"/>
      <c r="N1383" s="56"/>
      <c r="O1383" s="56"/>
      <c r="P1383" s="56"/>
      <c r="Q1383" s="56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</row>
    <row r="1384" ht="21.0" customHeight="1">
      <c r="A1384" s="55"/>
      <c r="B1384" s="60"/>
      <c r="C1384" s="60"/>
      <c r="D1384" s="57"/>
      <c r="E1384" s="57"/>
      <c r="F1384" s="56"/>
      <c r="G1384" s="56"/>
      <c r="H1384" s="56"/>
      <c r="I1384" s="56"/>
      <c r="J1384" s="56"/>
      <c r="K1384" s="56"/>
      <c r="L1384" s="56"/>
      <c r="M1384" s="56"/>
      <c r="N1384" s="56"/>
      <c r="O1384" s="56"/>
      <c r="P1384" s="56"/>
      <c r="Q1384" s="56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</row>
    <row r="1385" ht="21.0" customHeight="1">
      <c r="A1385" s="55"/>
      <c r="B1385" s="60"/>
      <c r="C1385" s="60"/>
      <c r="D1385" s="57"/>
      <c r="E1385" s="57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</row>
    <row r="1386" ht="21.0" customHeight="1">
      <c r="A1386" s="55"/>
      <c r="B1386" s="60"/>
      <c r="C1386" s="60"/>
      <c r="D1386" s="57"/>
      <c r="E1386" s="57"/>
      <c r="F1386" s="56"/>
      <c r="G1386" s="56"/>
      <c r="H1386" s="56"/>
      <c r="I1386" s="56"/>
      <c r="J1386" s="56"/>
      <c r="K1386" s="56"/>
      <c r="L1386" s="56"/>
      <c r="M1386" s="56"/>
      <c r="N1386" s="56"/>
      <c r="O1386" s="56"/>
      <c r="P1386" s="56"/>
      <c r="Q1386" s="56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</row>
    <row r="1387" ht="21.0" customHeight="1">
      <c r="A1387" s="55"/>
      <c r="B1387" s="60"/>
      <c r="C1387" s="60"/>
      <c r="D1387" s="57"/>
      <c r="E1387" s="57"/>
      <c r="F1387" s="56"/>
      <c r="G1387" s="56"/>
      <c r="H1387" s="56"/>
      <c r="I1387" s="56"/>
      <c r="J1387" s="56"/>
      <c r="K1387" s="56"/>
      <c r="L1387" s="56"/>
      <c r="M1387" s="56"/>
      <c r="N1387" s="56"/>
      <c r="O1387" s="56"/>
      <c r="P1387" s="56"/>
      <c r="Q1387" s="56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</row>
    <row r="1388" ht="21.0" customHeight="1">
      <c r="A1388" s="55"/>
      <c r="B1388" s="60"/>
      <c r="C1388" s="60"/>
      <c r="D1388" s="57"/>
      <c r="E1388" s="57"/>
      <c r="F1388" s="56"/>
      <c r="G1388" s="56"/>
      <c r="H1388" s="56"/>
      <c r="I1388" s="56"/>
      <c r="J1388" s="56"/>
      <c r="K1388" s="56"/>
      <c r="L1388" s="56"/>
      <c r="M1388" s="56"/>
      <c r="N1388" s="56"/>
      <c r="O1388" s="56"/>
      <c r="P1388" s="56"/>
      <c r="Q1388" s="56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</row>
    <row r="1389" ht="21.0" customHeight="1">
      <c r="A1389" s="55"/>
      <c r="B1389" s="60"/>
      <c r="C1389" s="60"/>
      <c r="D1389" s="57"/>
      <c r="E1389" s="57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</row>
    <row r="1390" ht="21.0" customHeight="1">
      <c r="A1390" s="55"/>
      <c r="B1390" s="60"/>
      <c r="C1390" s="60"/>
      <c r="D1390" s="57"/>
      <c r="E1390" s="57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</row>
    <row r="1391" ht="21.0" customHeight="1">
      <c r="A1391" s="55"/>
      <c r="B1391" s="60"/>
      <c r="C1391" s="60"/>
      <c r="D1391" s="57"/>
      <c r="E1391" s="57"/>
      <c r="F1391" s="56"/>
      <c r="G1391" s="56"/>
      <c r="H1391" s="56"/>
      <c r="I1391" s="56"/>
      <c r="J1391" s="56"/>
      <c r="K1391" s="56"/>
      <c r="L1391" s="56"/>
      <c r="M1391" s="56"/>
      <c r="N1391" s="56"/>
      <c r="O1391" s="56"/>
      <c r="P1391" s="56"/>
      <c r="Q1391" s="56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</row>
    <row r="1392" ht="21.0" customHeight="1">
      <c r="A1392" s="55"/>
      <c r="B1392" s="60"/>
      <c r="C1392" s="60"/>
      <c r="D1392" s="57"/>
      <c r="E1392" s="57"/>
      <c r="F1392" s="56"/>
      <c r="G1392" s="56"/>
      <c r="H1392" s="56"/>
      <c r="I1392" s="56"/>
      <c r="J1392" s="56"/>
      <c r="K1392" s="56"/>
      <c r="L1392" s="56"/>
      <c r="M1392" s="56"/>
      <c r="N1392" s="56"/>
      <c r="O1392" s="56"/>
      <c r="P1392" s="56"/>
      <c r="Q1392" s="56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</row>
    <row r="1393" ht="21.0" customHeight="1">
      <c r="A1393" s="55"/>
      <c r="B1393" s="60"/>
      <c r="C1393" s="60"/>
      <c r="D1393" s="57"/>
      <c r="E1393" s="57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</row>
    <row r="1394" ht="21.0" customHeight="1">
      <c r="A1394" s="55"/>
      <c r="B1394" s="60"/>
      <c r="C1394" s="60"/>
      <c r="D1394" s="57"/>
      <c r="E1394" s="57"/>
      <c r="F1394" s="56"/>
      <c r="G1394" s="56"/>
      <c r="H1394" s="56"/>
      <c r="I1394" s="56"/>
      <c r="J1394" s="56"/>
      <c r="K1394" s="56"/>
      <c r="L1394" s="56"/>
      <c r="M1394" s="56"/>
      <c r="N1394" s="56"/>
      <c r="O1394" s="56"/>
      <c r="P1394" s="56"/>
      <c r="Q1394" s="56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</row>
    <row r="1395" ht="21.0" customHeight="1">
      <c r="A1395" s="55"/>
      <c r="B1395" s="60"/>
      <c r="C1395" s="60"/>
      <c r="D1395" s="57"/>
      <c r="E1395" s="57"/>
      <c r="F1395" s="56"/>
      <c r="G1395" s="56"/>
      <c r="H1395" s="56"/>
      <c r="I1395" s="56"/>
      <c r="J1395" s="56"/>
      <c r="K1395" s="56"/>
      <c r="L1395" s="56"/>
      <c r="M1395" s="56"/>
      <c r="N1395" s="56"/>
      <c r="O1395" s="56"/>
      <c r="P1395" s="56"/>
      <c r="Q1395" s="56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</row>
    <row r="1396" ht="21.0" customHeight="1">
      <c r="A1396" s="55"/>
      <c r="B1396" s="60"/>
      <c r="C1396" s="60"/>
      <c r="D1396" s="57"/>
      <c r="E1396" s="57"/>
      <c r="F1396" s="56"/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</row>
    <row r="1397" ht="21.0" customHeight="1">
      <c r="A1397" s="55"/>
      <c r="B1397" s="60"/>
      <c r="C1397" s="60"/>
      <c r="D1397" s="57"/>
      <c r="E1397" s="57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</row>
    <row r="1398" ht="21.0" customHeight="1">
      <c r="A1398" s="55"/>
      <c r="B1398" s="60"/>
      <c r="C1398" s="60"/>
      <c r="D1398" s="57"/>
      <c r="E1398" s="57"/>
      <c r="F1398" s="56"/>
      <c r="G1398" s="56"/>
      <c r="H1398" s="56"/>
      <c r="I1398" s="56"/>
      <c r="J1398" s="56"/>
      <c r="K1398" s="56"/>
      <c r="L1398" s="56"/>
      <c r="M1398" s="56"/>
      <c r="N1398" s="56"/>
      <c r="O1398" s="56"/>
      <c r="P1398" s="56"/>
      <c r="Q1398" s="56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</row>
    <row r="1399" ht="21.0" customHeight="1">
      <c r="A1399" s="55"/>
      <c r="B1399" s="60"/>
      <c r="C1399" s="60"/>
      <c r="D1399" s="57"/>
      <c r="E1399" s="57"/>
      <c r="F1399" s="56"/>
      <c r="G1399" s="56"/>
      <c r="H1399" s="56"/>
      <c r="I1399" s="56"/>
      <c r="J1399" s="56"/>
      <c r="K1399" s="56"/>
      <c r="L1399" s="56"/>
      <c r="M1399" s="56"/>
      <c r="N1399" s="56"/>
      <c r="O1399" s="56"/>
      <c r="P1399" s="56"/>
      <c r="Q1399" s="56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</row>
    <row r="1400" ht="21.0" customHeight="1">
      <c r="A1400" s="55"/>
      <c r="B1400" s="60"/>
      <c r="C1400" s="60"/>
      <c r="D1400" s="57"/>
      <c r="E1400" s="57"/>
      <c r="F1400" s="56"/>
      <c r="G1400" s="56"/>
      <c r="H1400" s="56"/>
      <c r="I1400" s="56"/>
      <c r="J1400" s="56"/>
      <c r="K1400" s="56"/>
      <c r="L1400" s="56"/>
      <c r="M1400" s="56"/>
      <c r="N1400" s="56"/>
      <c r="O1400" s="56"/>
      <c r="P1400" s="56"/>
      <c r="Q1400" s="56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</row>
    <row r="1401" ht="21.0" customHeight="1">
      <c r="A1401" s="55"/>
      <c r="B1401" s="60"/>
      <c r="C1401" s="60"/>
      <c r="D1401" s="57"/>
      <c r="E1401" s="57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</row>
    <row r="1402" ht="21.0" customHeight="1">
      <c r="A1402" s="55"/>
      <c r="B1402" s="60"/>
      <c r="C1402" s="60"/>
      <c r="D1402" s="57"/>
      <c r="E1402" s="57"/>
      <c r="F1402" s="56"/>
      <c r="G1402" s="56"/>
      <c r="H1402" s="56"/>
      <c r="I1402" s="56"/>
      <c r="J1402" s="56"/>
      <c r="K1402" s="56"/>
      <c r="L1402" s="56"/>
      <c r="M1402" s="56"/>
      <c r="N1402" s="56"/>
      <c r="O1402" s="56"/>
      <c r="P1402" s="56"/>
      <c r="Q1402" s="56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</row>
    <row r="1403" ht="21.0" customHeight="1">
      <c r="A1403" s="55"/>
      <c r="B1403" s="60"/>
      <c r="C1403" s="60"/>
      <c r="D1403" s="57"/>
      <c r="E1403" s="57"/>
      <c r="F1403" s="56"/>
      <c r="G1403" s="56"/>
      <c r="H1403" s="56"/>
      <c r="I1403" s="56"/>
      <c r="J1403" s="56"/>
      <c r="K1403" s="56"/>
      <c r="L1403" s="56"/>
      <c r="M1403" s="56"/>
      <c r="N1403" s="56"/>
      <c r="O1403" s="56"/>
      <c r="P1403" s="56"/>
      <c r="Q1403" s="56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</row>
    <row r="1404" ht="21.0" customHeight="1">
      <c r="A1404" s="55"/>
      <c r="B1404" s="60"/>
      <c r="C1404" s="60"/>
      <c r="D1404" s="57"/>
      <c r="E1404" s="57"/>
      <c r="F1404" s="56"/>
      <c r="G1404" s="56"/>
      <c r="H1404" s="56"/>
      <c r="I1404" s="56"/>
      <c r="J1404" s="56"/>
      <c r="K1404" s="56"/>
      <c r="L1404" s="56"/>
      <c r="M1404" s="56"/>
      <c r="N1404" s="56"/>
      <c r="O1404" s="56"/>
      <c r="P1404" s="56"/>
      <c r="Q1404" s="56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</row>
    <row r="1405" ht="21.0" customHeight="1">
      <c r="A1405" s="55"/>
      <c r="B1405" s="60"/>
      <c r="C1405" s="60"/>
      <c r="D1405" s="57"/>
      <c r="E1405" s="57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</row>
    <row r="1406" ht="21.0" customHeight="1">
      <c r="A1406" s="55"/>
      <c r="B1406" s="60"/>
      <c r="C1406" s="60"/>
      <c r="D1406" s="57"/>
      <c r="E1406" s="57"/>
      <c r="F1406" s="56"/>
      <c r="G1406" s="56"/>
      <c r="H1406" s="56"/>
      <c r="I1406" s="56"/>
      <c r="J1406" s="56"/>
      <c r="K1406" s="56"/>
      <c r="L1406" s="56"/>
      <c r="M1406" s="56"/>
      <c r="N1406" s="56"/>
      <c r="O1406" s="56"/>
      <c r="P1406" s="56"/>
      <c r="Q1406" s="56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</row>
    <row r="1407" ht="21.0" customHeight="1">
      <c r="A1407" s="55"/>
      <c r="B1407" s="60"/>
      <c r="C1407" s="60"/>
      <c r="D1407" s="57"/>
      <c r="E1407" s="57"/>
      <c r="F1407" s="56"/>
      <c r="G1407" s="56"/>
      <c r="H1407" s="56"/>
      <c r="I1407" s="56"/>
      <c r="J1407" s="56"/>
      <c r="K1407" s="56"/>
      <c r="L1407" s="56"/>
      <c r="M1407" s="56"/>
      <c r="N1407" s="56"/>
      <c r="O1407" s="56"/>
      <c r="P1407" s="56"/>
      <c r="Q1407" s="56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</row>
    <row r="1408" ht="21.0" customHeight="1">
      <c r="A1408" s="55"/>
      <c r="B1408" s="60"/>
      <c r="C1408" s="60"/>
      <c r="D1408" s="57"/>
      <c r="E1408" s="57"/>
      <c r="F1408" s="56"/>
      <c r="G1408" s="56"/>
      <c r="H1408" s="56"/>
      <c r="I1408" s="56"/>
      <c r="J1408" s="56"/>
      <c r="K1408" s="56"/>
      <c r="L1408" s="56"/>
      <c r="M1408" s="56"/>
      <c r="N1408" s="56"/>
      <c r="O1408" s="56"/>
      <c r="P1408" s="56"/>
      <c r="Q1408" s="56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</row>
    <row r="1409" ht="21.0" customHeight="1">
      <c r="A1409" s="55"/>
      <c r="B1409" s="60"/>
      <c r="C1409" s="60"/>
      <c r="D1409" s="57"/>
      <c r="E1409" s="57"/>
      <c r="F1409" s="56"/>
      <c r="G1409" s="56"/>
      <c r="H1409" s="56"/>
      <c r="I1409" s="56"/>
      <c r="J1409" s="56"/>
      <c r="K1409" s="56"/>
      <c r="L1409" s="56"/>
      <c r="M1409" s="56"/>
      <c r="N1409" s="56"/>
      <c r="O1409" s="56"/>
      <c r="P1409" s="56"/>
      <c r="Q1409" s="56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</row>
    <row r="1410" ht="21.0" customHeight="1">
      <c r="A1410" s="55"/>
      <c r="B1410" s="60"/>
      <c r="C1410" s="60"/>
      <c r="D1410" s="57"/>
      <c r="E1410" s="57"/>
      <c r="F1410" s="56"/>
      <c r="G1410" s="56"/>
      <c r="H1410" s="56"/>
      <c r="I1410" s="56"/>
      <c r="J1410" s="56"/>
      <c r="K1410" s="56"/>
      <c r="L1410" s="56"/>
      <c r="M1410" s="56"/>
      <c r="N1410" s="56"/>
      <c r="O1410" s="56"/>
      <c r="P1410" s="56"/>
      <c r="Q1410" s="56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</row>
    <row r="1411" ht="21.0" customHeight="1">
      <c r="A1411" s="55"/>
      <c r="B1411" s="60"/>
      <c r="C1411" s="60"/>
      <c r="D1411" s="57"/>
      <c r="E1411" s="57"/>
      <c r="F1411" s="56"/>
      <c r="G1411" s="56"/>
      <c r="H1411" s="56"/>
      <c r="I1411" s="56"/>
      <c r="J1411" s="56"/>
      <c r="K1411" s="56"/>
      <c r="L1411" s="56"/>
      <c r="M1411" s="56"/>
      <c r="N1411" s="56"/>
      <c r="O1411" s="56"/>
      <c r="P1411" s="56"/>
      <c r="Q1411" s="56"/>
      <c r="R1411" s="56"/>
      <c r="S1411" s="56"/>
      <c r="T1411" s="56"/>
      <c r="U1411" s="56"/>
      <c r="V1411" s="56"/>
      <c r="W1411" s="56"/>
      <c r="X1411" s="56"/>
      <c r="Y1411" s="56"/>
      <c r="Z1411" s="56"/>
      <c r="AA1411" s="56"/>
      <c r="AB1411" s="56"/>
    </row>
    <row r="1412" ht="21.0" customHeight="1">
      <c r="A1412" s="55"/>
      <c r="B1412" s="60"/>
      <c r="C1412" s="60"/>
      <c r="D1412" s="57"/>
      <c r="E1412" s="57"/>
      <c r="F1412" s="56"/>
      <c r="G1412" s="56"/>
      <c r="H1412" s="56"/>
      <c r="I1412" s="56"/>
      <c r="J1412" s="56"/>
      <c r="K1412" s="56"/>
      <c r="L1412" s="56"/>
      <c r="M1412" s="56"/>
      <c r="N1412" s="56"/>
      <c r="O1412" s="56"/>
      <c r="P1412" s="56"/>
      <c r="Q1412" s="56"/>
      <c r="R1412" s="56"/>
      <c r="S1412" s="56"/>
      <c r="T1412" s="56"/>
      <c r="U1412" s="56"/>
      <c r="V1412" s="56"/>
      <c r="W1412" s="56"/>
      <c r="X1412" s="56"/>
      <c r="Y1412" s="56"/>
      <c r="Z1412" s="56"/>
      <c r="AA1412" s="56"/>
      <c r="AB1412" s="56"/>
    </row>
    <row r="1413" ht="21.0" customHeight="1">
      <c r="A1413" s="55"/>
      <c r="B1413" s="60"/>
      <c r="C1413" s="60"/>
      <c r="D1413" s="57"/>
      <c r="E1413" s="57"/>
      <c r="F1413" s="56"/>
      <c r="G1413" s="56"/>
      <c r="H1413" s="56"/>
      <c r="I1413" s="56"/>
      <c r="J1413" s="56"/>
      <c r="K1413" s="56"/>
      <c r="L1413" s="56"/>
      <c r="M1413" s="56"/>
      <c r="N1413" s="56"/>
      <c r="O1413" s="56"/>
      <c r="P1413" s="56"/>
      <c r="Q1413" s="56"/>
      <c r="R1413" s="56"/>
      <c r="S1413" s="56"/>
      <c r="T1413" s="56"/>
      <c r="U1413" s="56"/>
      <c r="V1413" s="56"/>
      <c r="W1413" s="56"/>
      <c r="X1413" s="56"/>
      <c r="Y1413" s="56"/>
      <c r="Z1413" s="56"/>
      <c r="AA1413" s="56"/>
      <c r="AB1413" s="56"/>
    </row>
    <row r="1414" ht="21.0" customHeight="1">
      <c r="A1414" s="55"/>
      <c r="B1414" s="60"/>
      <c r="C1414" s="60"/>
      <c r="D1414" s="57"/>
      <c r="E1414" s="57"/>
      <c r="F1414" s="56"/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  <c r="R1414" s="56"/>
      <c r="S1414" s="56"/>
      <c r="T1414" s="56"/>
      <c r="U1414" s="56"/>
      <c r="V1414" s="56"/>
      <c r="W1414" s="56"/>
      <c r="X1414" s="56"/>
      <c r="Y1414" s="56"/>
      <c r="Z1414" s="56"/>
      <c r="AA1414" s="56"/>
      <c r="AB1414" s="56"/>
    </row>
    <row r="1415" ht="21.0" customHeight="1">
      <c r="A1415" s="55"/>
      <c r="B1415" s="60"/>
      <c r="C1415" s="60"/>
      <c r="D1415" s="57"/>
      <c r="E1415" s="57"/>
      <c r="F1415" s="56"/>
      <c r="G1415" s="56"/>
      <c r="H1415" s="56"/>
      <c r="I1415" s="56"/>
      <c r="J1415" s="56"/>
      <c r="K1415" s="56"/>
      <c r="L1415" s="56"/>
      <c r="M1415" s="56"/>
      <c r="N1415" s="56"/>
      <c r="O1415" s="56"/>
      <c r="P1415" s="56"/>
      <c r="Q1415" s="56"/>
      <c r="R1415" s="56"/>
      <c r="S1415" s="56"/>
      <c r="T1415" s="56"/>
      <c r="U1415" s="56"/>
      <c r="V1415" s="56"/>
      <c r="W1415" s="56"/>
      <c r="X1415" s="56"/>
      <c r="Y1415" s="56"/>
      <c r="Z1415" s="56"/>
      <c r="AA1415" s="56"/>
      <c r="AB1415" s="56"/>
    </row>
    <row r="1416" ht="21.0" customHeight="1">
      <c r="A1416" s="55"/>
      <c r="B1416" s="60"/>
      <c r="C1416" s="60"/>
      <c r="D1416" s="57"/>
      <c r="E1416" s="57"/>
      <c r="F1416" s="56"/>
      <c r="G1416" s="56"/>
      <c r="H1416" s="56"/>
      <c r="I1416" s="56"/>
      <c r="J1416" s="56"/>
      <c r="K1416" s="56"/>
      <c r="L1416" s="56"/>
      <c r="M1416" s="56"/>
      <c r="N1416" s="56"/>
      <c r="O1416" s="56"/>
      <c r="P1416" s="56"/>
      <c r="Q1416" s="56"/>
      <c r="R1416" s="56"/>
      <c r="S1416" s="56"/>
      <c r="T1416" s="56"/>
      <c r="U1416" s="56"/>
      <c r="V1416" s="56"/>
      <c r="W1416" s="56"/>
      <c r="X1416" s="56"/>
      <c r="Y1416" s="56"/>
      <c r="Z1416" s="56"/>
      <c r="AA1416" s="56"/>
      <c r="AB1416" s="56"/>
    </row>
    <row r="1417" ht="21.0" customHeight="1">
      <c r="A1417" s="55"/>
      <c r="B1417" s="60"/>
      <c r="C1417" s="60"/>
      <c r="D1417" s="57"/>
      <c r="E1417" s="57"/>
      <c r="F1417" s="56"/>
      <c r="G1417" s="56"/>
      <c r="H1417" s="56"/>
      <c r="I1417" s="56"/>
      <c r="J1417" s="56"/>
      <c r="K1417" s="56"/>
      <c r="L1417" s="56"/>
      <c r="M1417" s="56"/>
      <c r="N1417" s="56"/>
      <c r="O1417" s="56"/>
      <c r="P1417" s="56"/>
      <c r="Q1417" s="56"/>
      <c r="R1417" s="56"/>
      <c r="S1417" s="56"/>
      <c r="T1417" s="56"/>
      <c r="U1417" s="56"/>
      <c r="V1417" s="56"/>
      <c r="W1417" s="56"/>
      <c r="X1417" s="56"/>
      <c r="Y1417" s="56"/>
      <c r="Z1417" s="56"/>
      <c r="AA1417" s="56"/>
      <c r="AB1417" s="56"/>
    </row>
    <row r="1418" ht="21.0" customHeight="1">
      <c r="A1418" s="55"/>
      <c r="B1418" s="60"/>
      <c r="C1418" s="60"/>
      <c r="D1418" s="57"/>
      <c r="E1418" s="57"/>
      <c r="F1418" s="56"/>
      <c r="G1418" s="56"/>
      <c r="H1418" s="56"/>
      <c r="I1418" s="56"/>
      <c r="J1418" s="56"/>
      <c r="K1418" s="56"/>
      <c r="L1418" s="56"/>
      <c r="M1418" s="56"/>
      <c r="N1418" s="56"/>
      <c r="O1418" s="56"/>
      <c r="P1418" s="56"/>
      <c r="Q1418" s="56"/>
      <c r="R1418" s="56"/>
      <c r="S1418" s="56"/>
      <c r="T1418" s="56"/>
      <c r="U1418" s="56"/>
      <c r="V1418" s="56"/>
      <c r="W1418" s="56"/>
      <c r="X1418" s="56"/>
      <c r="Y1418" s="56"/>
      <c r="Z1418" s="56"/>
      <c r="AA1418" s="56"/>
      <c r="AB1418" s="56"/>
    </row>
    <row r="1419" ht="21.0" customHeight="1">
      <c r="A1419" s="55"/>
      <c r="B1419" s="60"/>
      <c r="C1419" s="60"/>
      <c r="D1419" s="57"/>
      <c r="E1419" s="57"/>
      <c r="F1419" s="56"/>
      <c r="G1419" s="56"/>
      <c r="H1419" s="56"/>
      <c r="I1419" s="56"/>
      <c r="J1419" s="56"/>
      <c r="K1419" s="56"/>
      <c r="L1419" s="56"/>
      <c r="M1419" s="56"/>
      <c r="N1419" s="56"/>
      <c r="O1419" s="56"/>
      <c r="P1419" s="56"/>
      <c r="Q1419" s="56"/>
      <c r="R1419" s="56"/>
      <c r="S1419" s="56"/>
      <c r="T1419" s="56"/>
      <c r="U1419" s="56"/>
      <c r="V1419" s="56"/>
      <c r="W1419" s="56"/>
      <c r="X1419" s="56"/>
      <c r="Y1419" s="56"/>
      <c r="Z1419" s="56"/>
      <c r="AA1419" s="56"/>
      <c r="AB1419" s="56"/>
    </row>
    <row r="1420" ht="21.0" customHeight="1">
      <c r="A1420" s="55"/>
      <c r="B1420" s="60"/>
      <c r="C1420" s="60"/>
      <c r="D1420" s="57"/>
      <c r="E1420" s="57"/>
      <c r="F1420" s="56"/>
      <c r="G1420" s="56"/>
      <c r="H1420" s="56"/>
      <c r="I1420" s="56"/>
      <c r="J1420" s="56"/>
      <c r="K1420" s="56"/>
      <c r="L1420" s="56"/>
      <c r="M1420" s="56"/>
      <c r="N1420" s="56"/>
      <c r="O1420" s="56"/>
      <c r="P1420" s="56"/>
      <c r="Q1420" s="56"/>
      <c r="R1420" s="56"/>
      <c r="S1420" s="56"/>
      <c r="T1420" s="56"/>
      <c r="U1420" s="56"/>
      <c r="V1420" s="56"/>
      <c r="W1420" s="56"/>
      <c r="X1420" s="56"/>
      <c r="Y1420" s="56"/>
      <c r="Z1420" s="56"/>
      <c r="AA1420" s="56"/>
      <c r="AB1420" s="56"/>
    </row>
    <row r="1421" ht="21.0" customHeight="1">
      <c r="A1421" s="55"/>
      <c r="B1421" s="60"/>
      <c r="C1421" s="60"/>
      <c r="D1421" s="57"/>
      <c r="E1421" s="57"/>
      <c r="F1421" s="56"/>
      <c r="G1421" s="56"/>
      <c r="H1421" s="56"/>
      <c r="I1421" s="56"/>
      <c r="J1421" s="56"/>
      <c r="K1421" s="56"/>
      <c r="L1421" s="56"/>
      <c r="M1421" s="56"/>
      <c r="N1421" s="56"/>
      <c r="O1421" s="56"/>
      <c r="P1421" s="56"/>
      <c r="Q1421" s="56"/>
      <c r="R1421" s="56"/>
      <c r="S1421" s="56"/>
      <c r="T1421" s="56"/>
      <c r="U1421" s="56"/>
      <c r="V1421" s="56"/>
      <c r="W1421" s="56"/>
      <c r="X1421" s="56"/>
      <c r="Y1421" s="56"/>
      <c r="Z1421" s="56"/>
      <c r="AA1421" s="56"/>
      <c r="AB1421" s="56"/>
    </row>
    <row r="1422" ht="21.0" customHeight="1">
      <c r="A1422" s="55"/>
      <c r="B1422" s="60"/>
      <c r="C1422" s="60"/>
      <c r="D1422" s="57"/>
      <c r="E1422" s="57"/>
      <c r="F1422" s="56"/>
      <c r="G1422" s="56"/>
      <c r="H1422" s="56"/>
      <c r="I1422" s="56"/>
      <c r="J1422" s="56"/>
      <c r="K1422" s="56"/>
      <c r="L1422" s="56"/>
      <c r="M1422" s="56"/>
      <c r="N1422" s="56"/>
      <c r="O1422" s="56"/>
      <c r="P1422" s="56"/>
      <c r="Q1422" s="56"/>
      <c r="R1422" s="56"/>
      <c r="S1422" s="56"/>
      <c r="T1422" s="56"/>
      <c r="U1422" s="56"/>
      <c r="V1422" s="56"/>
      <c r="W1422" s="56"/>
      <c r="X1422" s="56"/>
      <c r="Y1422" s="56"/>
      <c r="Z1422" s="56"/>
      <c r="AA1422" s="56"/>
      <c r="AB1422" s="56"/>
    </row>
    <row r="1423" ht="21.0" customHeight="1">
      <c r="A1423" s="55"/>
      <c r="B1423" s="60"/>
      <c r="C1423" s="60"/>
      <c r="D1423" s="57"/>
      <c r="E1423" s="57"/>
      <c r="F1423" s="56"/>
      <c r="G1423" s="56"/>
      <c r="H1423" s="56"/>
      <c r="I1423" s="56"/>
      <c r="J1423" s="56"/>
      <c r="K1423" s="56"/>
      <c r="L1423" s="56"/>
      <c r="M1423" s="56"/>
      <c r="N1423" s="56"/>
      <c r="O1423" s="56"/>
      <c r="P1423" s="56"/>
      <c r="Q1423" s="56"/>
      <c r="R1423" s="56"/>
      <c r="S1423" s="56"/>
      <c r="T1423" s="56"/>
      <c r="U1423" s="56"/>
      <c r="V1423" s="56"/>
      <c r="W1423" s="56"/>
      <c r="X1423" s="56"/>
      <c r="Y1423" s="56"/>
      <c r="Z1423" s="56"/>
      <c r="AA1423" s="56"/>
      <c r="AB1423" s="56"/>
    </row>
  </sheetData>
  <autoFilter ref="$A$1:$D$552">
    <sortState ref="A1:D552">
      <sortCondition ref="A1:A552"/>
      <sortCondition descending="1" ref="B1:B552"/>
      <sortCondition descending="1" ref="C1:C552"/>
    </sortState>
  </autoFilter>
  <hyperlinks>
    <hyperlink r:id="rId1" ref="D2"/>
    <hyperlink r:id="rId2" ref="D3"/>
    <hyperlink r:id="rId3" ref="D4"/>
    <hyperlink r:id="rId4" ref="D5"/>
    <hyperlink r:id="rId5" ref="D7"/>
    <hyperlink r:id="rId6" ref="D8"/>
    <hyperlink r:id="rId7" ref="D12"/>
    <hyperlink r:id="rId8" ref="D13"/>
    <hyperlink r:id="rId9" ref="D14"/>
    <hyperlink r:id="rId10" ref="D18"/>
    <hyperlink r:id="rId11" ref="D19"/>
    <hyperlink r:id="rId12" ref="D21"/>
    <hyperlink r:id="rId13" ref="D22"/>
    <hyperlink r:id="rId14" ref="D24"/>
    <hyperlink r:id="rId15" ref="D26"/>
    <hyperlink r:id="rId16" ref="D27"/>
    <hyperlink r:id="rId17" ref="D28"/>
    <hyperlink r:id="rId18" ref="D32"/>
    <hyperlink r:id="rId19" ref="D33"/>
    <hyperlink r:id="rId20" ref="D35"/>
    <hyperlink r:id="rId21" ref="D39"/>
    <hyperlink r:id="rId22" ref="D40"/>
    <hyperlink r:id="rId23" ref="D44"/>
    <hyperlink r:id="rId24" ref="D45"/>
    <hyperlink r:id="rId25" ref="D50"/>
    <hyperlink r:id="rId26" ref="D51"/>
    <hyperlink r:id="rId27" ref="D52"/>
    <hyperlink r:id="rId28" ref="D56"/>
    <hyperlink r:id="rId29" ref="D59"/>
    <hyperlink r:id="rId30" ref="D61"/>
    <hyperlink r:id="rId31" ref="D62"/>
    <hyperlink r:id="rId32" ref="D63"/>
    <hyperlink r:id="rId33" ref="D64"/>
    <hyperlink r:id="rId34" ref="D65"/>
    <hyperlink r:id="rId35" ref="D69"/>
    <hyperlink r:id="rId36" ref="D71"/>
    <hyperlink r:id="rId37" ref="D72"/>
    <hyperlink r:id="rId38" ref="D76"/>
    <hyperlink r:id="rId39" ref="D77"/>
    <hyperlink r:id="rId40" ref="D79"/>
    <hyperlink r:id="rId41" ref="D80"/>
    <hyperlink r:id="rId42" ref="D81"/>
    <hyperlink r:id="rId43" ref="D82"/>
    <hyperlink r:id="rId44" ref="D83"/>
    <hyperlink r:id="rId45" ref="D85"/>
    <hyperlink r:id="rId46" ref="D87"/>
    <hyperlink r:id="rId47" ref="D88"/>
    <hyperlink r:id="rId48" ref="D89"/>
    <hyperlink r:id="rId49" ref="D92"/>
    <hyperlink r:id="rId50" ref="D94"/>
    <hyperlink r:id="rId51" ref="D98"/>
    <hyperlink r:id="rId52" ref="D99"/>
    <hyperlink r:id="rId53" ref="D100"/>
    <hyperlink r:id="rId54" ref="D103"/>
    <hyperlink r:id="rId55" ref="D104"/>
    <hyperlink r:id="rId56" ref="D106"/>
    <hyperlink r:id="rId57" ref="D107"/>
    <hyperlink r:id="rId58" ref="D108"/>
    <hyperlink r:id="rId59" ref="D110"/>
    <hyperlink r:id="rId60" ref="D111"/>
    <hyperlink r:id="rId61" ref="D112"/>
    <hyperlink r:id="rId62" ref="D113"/>
    <hyperlink r:id="rId63" ref="D116"/>
    <hyperlink r:id="rId64" ref="D120"/>
    <hyperlink r:id="rId65" ref="D121"/>
    <hyperlink r:id="rId66" ref="D123"/>
    <hyperlink r:id="rId67" ref="D124"/>
    <hyperlink r:id="rId68" ref="D126"/>
    <hyperlink r:id="rId69" ref="D127"/>
    <hyperlink r:id="rId70" ref="D130"/>
    <hyperlink r:id="rId71" ref="D132"/>
    <hyperlink r:id="rId72" ref="D133"/>
    <hyperlink r:id="rId73" ref="D134"/>
    <hyperlink r:id="rId74" ref="D136"/>
    <hyperlink r:id="rId75" ref="D141"/>
    <hyperlink r:id="rId76" ref="D142"/>
    <hyperlink r:id="rId77" ref="D143"/>
    <hyperlink r:id="rId78" ref="D144"/>
    <hyperlink r:id="rId79" ref="D145"/>
    <hyperlink r:id="rId80" ref="D150"/>
    <hyperlink r:id="rId81" ref="D151"/>
    <hyperlink r:id="rId82" ref="D152"/>
    <hyperlink r:id="rId83" ref="D153"/>
    <hyperlink r:id="rId84" ref="D154"/>
    <hyperlink r:id="rId85" ref="D155"/>
    <hyperlink r:id="rId86" ref="D156"/>
    <hyperlink r:id="rId87" ref="D157"/>
    <hyperlink r:id="rId88" ref="D161"/>
    <hyperlink r:id="rId89" ref="D163"/>
    <hyperlink r:id="rId90" ref="D164"/>
    <hyperlink r:id="rId91" ref="D165"/>
    <hyperlink r:id="rId92" ref="D167"/>
    <hyperlink r:id="rId93" ref="D168"/>
    <hyperlink r:id="rId94" ref="D169"/>
    <hyperlink r:id="rId95" ref="D170"/>
    <hyperlink r:id="rId96" ref="D171"/>
    <hyperlink r:id="rId97" ref="D172"/>
    <hyperlink r:id="rId98" ref="D174"/>
    <hyperlink r:id="rId99" ref="D176"/>
    <hyperlink r:id="rId100" ref="D177"/>
    <hyperlink r:id="rId101" ref="D179"/>
    <hyperlink r:id="rId102" ref="D184"/>
    <hyperlink r:id="rId103" ref="D185"/>
    <hyperlink r:id="rId104" ref="D187"/>
    <hyperlink r:id="rId105" ref="D188"/>
    <hyperlink r:id="rId106" ref="D189"/>
    <hyperlink r:id="rId107" ref="D190"/>
    <hyperlink r:id="rId108" ref="D191"/>
    <hyperlink r:id="rId109" ref="D192"/>
    <hyperlink r:id="rId110" ref="D194"/>
    <hyperlink r:id="rId111" ref="D195"/>
    <hyperlink r:id="rId112" ref="D196"/>
    <hyperlink r:id="rId113" ref="D197"/>
    <hyperlink r:id="rId114" ref="D200"/>
    <hyperlink r:id="rId115" ref="D201"/>
    <hyperlink r:id="rId116" ref="D202"/>
    <hyperlink r:id="rId117" ref="D203"/>
    <hyperlink r:id="rId118" ref="D204"/>
    <hyperlink r:id="rId119" ref="D206"/>
    <hyperlink r:id="rId120" ref="D208"/>
    <hyperlink r:id="rId121" ref="D209"/>
    <hyperlink r:id="rId122" ref="D212"/>
    <hyperlink r:id="rId123" ref="D213"/>
    <hyperlink r:id="rId124" ref="D214"/>
    <hyperlink r:id="rId125" ref="D215"/>
    <hyperlink r:id="rId126" ref="D216"/>
    <hyperlink r:id="rId127" ref="D217"/>
    <hyperlink r:id="rId128" ref="D218"/>
    <hyperlink r:id="rId129" ref="D219"/>
    <hyperlink r:id="rId130" ref="D221"/>
    <hyperlink r:id="rId131" ref="D223"/>
    <hyperlink r:id="rId132" ref="D224"/>
    <hyperlink r:id="rId133" ref="D226"/>
    <hyperlink r:id="rId134" ref="D229"/>
    <hyperlink r:id="rId135" ref="D230"/>
    <hyperlink r:id="rId136" ref="D231"/>
    <hyperlink r:id="rId137" ref="D232"/>
    <hyperlink r:id="rId138" ref="D234"/>
    <hyperlink r:id="rId139" ref="D237"/>
    <hyperlink r:id="rId140" ref="D239"/>
    <hyperlink r:id="rId141" ref="D240"/>
    <hyperlink r:id="rId142" ref="D242"/>
    <hyperlink r:id="rId143" ref="D243"/>
    <hyperlink r:id="rId144" ref="D244"/>
    <hyperlink r:id="rId145" ref="D245"/>
    <hyperlink r:id="rId146" ref="D247"/>
    <hyperlink r:id="rId147" ref="D248"/>
    <hyperlink r:id="rId148" ref="D251"/>
    <hyperlink r:id="rId149" ref="D255"/>
    <hyperlink r:id="rId150" ref="D257"/>
    <hyperlink r:id="rId151" ref="D262"/>
    <hyperlink r:id="rId152" ref="D263"/>
    <hyperlink r:id="rId153" ref="D264"/>
    <hyperlink r:id="rId154" ref="D265"/>
    <hyperlink r:id="rId155" ref="D267"/>
    <hyperlink r:id="rId156" ref="D268"/>
    <hyperlink r:id="rId157" ref="D269"/>
    <hyperlink r:id="rId158" ref="D270"/>
    <hyperlink r:id="rId159" ref="D271"/>
    <hyperlink r:id="rId160" ref="D274"/>
    <hyperlink r:id="rId161" ref="D275"/>
    <hyperlink r:id="rId162" ref="D278"/>
    <hyperlink r:id="rId163" ref="D279"/>
    <hyperlink r:id="rId164" ref="D280"/>
    <hyperlink r:id="rId165" ref="D281"/>
    <hyperlink r:id="rId166" ref="D282"/>
    <hyperlink r:id="rId167" ref="D283"/>
    <hyperlink r:id="rId168" ref="D284"/>
    <hyperlink r:id="rId169" ref="D285"/>
    <hyperlink r:id="rId170" ref="D287"/>
    <hyperlink r:id="rId171" ref="D288"/>
    <hyperlink r:id="rId172" ref="D289"/>
    <hyperlink r:id="rId173" ref="D291"/>
    <hyperlink r:id="rId174" ref="D294"/>
    <hyperlink r:id="rId175" ref="D295"/>
    <hyperlink r:id="rId176" ref="D296"/>
    <hyperlink r:id="rId177" ref="D298"/>
    <hyperlink r:id="rId178" ref="D303"/>
    <hyperlink r:id="rId179" ref="D304"/>
    <hyperlink r:id="rId180" ref="D305"/>
    <hyperlink r:id="rId181" ref="D312"/>
    <hyperlink r:id="rId182" ref="D313"/>
    <hyperlink r:id="rId183" ref="D314"/>
    <hyperlink r:id="rId184" ref="D316"/>
    <hyperlink r:id="rId185" ref="D317"/>
    <hyperlink r:id="rId186" ref="D319"/>
    <hyperlink r:id="rId187" ref="D320"/>
    <hyperlink r:id="rId188" ref="D324"/>
    <hyperlink r:id="rId189" ref="D326"/>
    <hyperlink r:id="rId190" ref="D327"/>
    <hyperlink r:id="rId191" ref="D329"/>
    <hyperlink r:id="rId192" ref="D330"/>
    <hyperlink r:id="rId193" ref="D333"/>
    <hyperlink r:id="rId194" ref="D334"/>
    <hyperlink r:id="rId195" ref="D336"/>
    <hyperlink r:id="rId196" ref="D341"/>
    <hyperlink r:id="rId197" ref="D345"/>
    <hyperlink r:id="rId198" ref="D348"/>
    <hyperlink r:id="rId199" ref="D351"/>
    <hyperlink r:id="rId200" ref="D353"/>
    <hyperlink r:id="rId201" ref="D354"/>
    <hyperlink r:id="rId202" ref="D358"/>
    <hyperlink r:id="rId203" ref="D364"/>
    <hyperlink r:id="rId204" ref="D367"/>
    <hyperlink r:id="rId205" ref="D369"/>
    <hyperlink r:id="rId206" ref="D370"/>
    <hyperlink r:id="rId207" ref="D371"/>
    <hyperlink r:id="rId208" ref="D372"/>
    <hyperlink r:id="rId209" ref="D373"/>
    <hyperlink r:id="rId210" ref="D375"/>
    <hyperlink r:id="rId211" ref="D379"/>
    <hyperlink r:id="rId212" ref="D380"/>
    <hyperlink r:id="rId213" ref="D381"/>
    <hyperlink r:id="rId214" ref="D382"/>
    <hyperlink r:id="rId215" ref="D383"/>
    <hyperlink r:id="rId216" ref="D385"/>
    <hyperlink r:id="rId217" ref="D386"/>
    <hyperlink r:id="rId218" ref="D388"/>
    <hyperlink r:id="rId219" ref="D389"/>
    <hyperlink r:id="rId220" ref="D394"/>
    <hyperlink r:id="rId221" ref="D396"/>
    <hyperlink r:id="rId222" ref="D398"/>
    <hyperlink r:id="rId223" ref="D400"/>
    <hyperlink r:id="rId224" ref="D402"/>
    <hyperlink r:id="rId225" ref="D403"/>
    <hyperlink r:id="rId226" ref="D404"/>
    <hyperlink r:id="rId227" ref="D410"/>
    <hyperlink r:id="rId228" ref="D411"/>
    <hyperlink r:id="rId229" ref="D412"/>
    <hyperlink r:id="rId230" ref="D414"/>
    <hyperlink r:id="rId231" ref="D415"/>
    <hyperlink r:id="rId232" ref="D416"/>
    <hyperlink r:id="rId233" ref="D417"/>
    <hyperlink r:id="rId234" ref="D420"/>
    <hyperlink r:id="rId235" ref="D436"/>
    <hyperlink r:id="rId236" ref="D437"/>
    <hyperlink r:id="rId237" ref="D439"/>
    <hyperlink r:id="rId238" ref="D443"/>
    <hyperlink r:id="rId239" ref="D444"/>
    <hyperlink r:id="rId240" ref="D445"/>
    <hyperlink r:id="rId241" ref="D448"/>
    <hyperlink r:id="rId242" ref="D449"/>
    <hyperlink r:id="rId243" ref="D452"/>
    <hyperlink r:id="rId244" ref="D453"/>
    <hyperlink r:id="rId245" ref="D454"/>
    <hyperlink r:id="rId246" ref="D455"/>
    <hyperlink r:id="rId247" ref="D456"/>
    <hyperlink r:id="rId248" ref="D460"/>
    <hyperlink r:id="rId249" ref="D461"/>
    <hyperlink r:id="rId250" ref="D462"/>
    <hyperlink r:id="rId251" ref="D463"/>
    <hyperlink r:id="rId252" ref="D464"/>
    <hyperlink r:id="rId253" ref="D466"/>
    <hyperlink r:id="rId254" ref="D470"/>
    <hyperlink r:id="rId255" ref="D471"/>
    <hyperlink r:id="rId256" ref="D472"/>
    <hyperlink r:id="rId257" ref="D473"/>
    <hyperlink r:id="rId258" ref="D475"/>
    <hyperlink r:id="rId259" ref="D476"/>
    <hyperlink r:id="rId260" ref="D477"/>
    <hyperlink r:id="rId261" ref="D480"/>
    <hyperlink r:id="rId262" ref="D485"/>
    <hyperlink r:id="rId263" ref="D487"/>
    <hyperlink r:id="rId264" ref="D490"/>
    <hyperlink r:id="rId265" ref="D492"/>
    <hyperlink r:id="rId266" ref="D494"/>
    <hyperlink r:id="rId267" ref="D496"/>
    <hyperlink r:id="rId268" ref="D498"/>
    <hyperlink r:id="rId269" ref="D499"/>
    <hyperlink r:id="rId270" ref="D501"/>
    <hyperlink r:id="rId271" ref="D503"/>
    <hyperlink r:id="rId272" ref="D506"/>
    <hyperlink r:id="rId273" ref="D510"/>
    <hyperlink r:id="rId274" ref="D511"/>
    <hyperlink r:id="rId275" ref="D512"/>
    <hyperlink r:id="rId276" ref="D514"/>
    <hyperlink r:id="rId277" ref="D515"/>
    <hyperlink r:id="rId278" ref="D517"/>
    <hyperlink r:id="rId279" ref="D519"/>
    <hyperlink r:id="rId280" ref="D521"/>
    <hyperlink r:id="rId281" ref="D525"/>
    <hyperlink r:id="rId282" ref="D529"/>
    <hyperlink r:id="rId283" ref="D530"/>
    <hyperlink r:id="rId284" ref="D532"/>
    <hyperlink r:id="rId285" ref="D534"/>
    <hyperlink r:id="rId286" ref="D535"/>
    <hyperlink r:id="rId287" ref="D536"/>
    <hyperlink r:id="rId288" ref="D538"/>
    <hyperlink r:id="rId289" ref="D539"/>
    <hyperlink r:id="rId290" ref="D540"/>
    <hyperlink r:id="rId291" ref="D543"/>
    <hyperlink r:id="rId292" ref="D545"/>
    <hyperlink r:id="rId293" ref="D546"/>
    <hyperlink r:id="rId294" ref="D547"/>
    <hyperlink r:id="rId295" ref="D548"/>
    <hyperlink r:id="rId296" ref="D549"/>
    <hyperlink r:id="rId297" ref="D550"/>
  </hyperlinks>
  <drawing r:id="rId29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43"/>
  </cols>
  <sheetData>
    <row r="1">
      <c r="A1" s="61" t="s">
        <v>483</v>
      </c>
      <c r="B1" s="62" t="str">
        <f>HYPERLINK("https://www.twitchalerts.com/donate/SeriouslyClara","Holy Crap Donor")</f>
        <v>Holy Crap Donor</v>
      </c>
      <c r="C1" s="63" t="str">
        <f>HYPERLINK("http://static-cdn.jtvnw.net/jtv_user_pictures/panel-45697162-image-09d2932055ea76e2-320.png","PO Box Hero")</f>
        <v>PO Box Hero</v>
      </c>
      <c r="D1" s="63" t="str">
        <f>HYPERLINK("http://patreon.com/seriouslyclara","Patreon Hero")</f>
        <v>Patreon Hero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>
      <c r="A2" s="65" t="s">
        <v>80</v>
      </c>
      <c r="B2" s="66" t="s">
        <v>484</v>
      </c>
      <c r="C2" s="66" t="s">
        <v>484</v>
      </c>
      <c r="D2" s="66" t="s">
        <v>484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>
      <c r="A3" s="65" t="s">
        <v>485</v>
      </c>
      <c r="B3" s="66" t="s">
        <v>484</v>
      </c>
      <c r="C3" s="66" t="s">
        <v>484</v>
      </c>
      <c r="D3" s="66" t="s">
        <v>484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>
      <c r="A4" s="65" t="s">
        <v>104</v>
      </c>
      <c r="B4" s="66" t="s">
        <v>484</v>
      </c>
      <c r="C4" s="66" t="s">
        <v>484</v>
      </c>
      <c r="D4" s="66" t="s">
        <v>484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>
      <c r="A5" s="65" t="s">
        <v>486</v>
      </c>
      <c r="B5" s="66" t="s">
        <v>484</v>
      </c>
      <c r="C5" s="66" t="s">
        <v>484</v>
      </c>
      <c r="D5" s="66" t="s">
        <v>484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>
      <c r="A6" s="65" t="s">
        <v>487</v>
      </c>
      <c r="B6" s="66" t="s">
        <v>484</v>
      </c>
      <c r="C6" s="66" t="s">
        <v>484</v>
      </c>
      <c r="D6" s="66" t="s">
        <v>484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>
      <c r="A7" s="65" t="s">
        <v>488</v>
      </c>
      <c r="B7" s="66"/>
      <c r="C7" s="66" t="s">
        <v>484</v>
      </c>
      <c r="D7" s="66" t="s">
        <v>484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>
      <c r="A8" s="65" t="s">
        <v>489</v>
      </c>
      <c r="B8" s="66" t="s">
        <v>484</v>
      </c>
      <c r="C8" s="67"/>
      <c r="D8" s="66" t="s">
        <v>484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>
      <c r="A9" s="65" t="s">
        <v>490</v>
      </c>
      <c r="B9" s="67"/>
      <c r="C9" s="67"/>
      <c r="D9" s="66" t="s">
        <v>484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>
      <c r="A10" s="65" t="s">
        <v>491</v>
      </c>
      <c r="B10" s="67"/>
      <c r="C10" s="67"/>
      <c r="D10" s="66" t="s">
        <v>484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>
      <c r="A11" s="65" t="s">
        <v>492</v>
      </c>
      <c r="B11" s="67"/>
      <c r="C11" s="67"/>
      <c r="D11" s="66" t="s">
        <v>484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>
      <c r="A12" s="65" t="s">
        <v>493</v>
      </c>
      <c r="B12" s="67"/>
      <c r="C12" s="67"/>
      <c r="D12" s="66" t="s">
        <v>484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>
      <c r="A13" s="65" t="s">
        <v>494</v>
      </c>
      <c r="B13" s="67"/>
      <c r="C13" s="67"/>
      <c r="D13" s="66" t="s">
        <v>484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>
      <c r="A14" s="65" t="s">
        <v>495</v>
      </c>
      <c r="B14" s="66"/>
      <c r="C14" s="66"/>
      <c r="D14" s="66" t="s">
        <v>484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>
      <c r="A15" s="65" t="s">
        <v>496</v>
      </c>
      <c r="B15" s="67"/>
      <c r="C15" s="67"/>
      <c r="D15" s="66" t="s">
        <v>484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>
      <c r="A16" s="65" t="s">
        <v>497</v>
      </c>
      <c r="B16" s="67"/>
      <c r="C16" s="67"/>
      <c r="D16" s="66" t="s">
        <v>484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>
      <c r="A17" s="65" t="s">
        <v>498</v>
      </c>
      <c r="B17" s="66"/>
      <c r="C17" s="66"/>
      <c r="D17" s="66" t="s">
        <v>484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>
      <c r="A18" s="65" t="s">
        <v>499</v>
      </c>
      <c r="B18" s="66" t="s">
        <v>484</v>
      </c>
      <c r="C18" s="66" t="s">
        <v>484</v>
      </c>
      <c r="D18" s="67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>
      <c r="A19" s="65" t="s">
        <v>500</v>
      </c>
      <c r="B19" s="66" t="s">
        <v>484</v>
      </c>
      <c r="C19" s="66" t="s">
        <v>484</v>
      </c>
      <c r="D19" s="67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>
      <c r="A20" s="65" t="s">
        <v>89</v>
      </c>
      <c r="B20" s="66" t="s">
        <v>484</v>
      </c>
      <c r="C20" s="66" t="s">
        <v>484</v>
      </c>
      <c r="D20" s="66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>
      <c r="A21" s="65" t="s">
        <v>501</v>
      </c>
      <c r="B21" s="66" t="s">
        <v>484</v>
      </c>
      <c r="C21" s="66" t="s">
        <v>484</v>
      </c>
      <c r="D21" s="67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>
      <c r="A22" s="65" t="s">
        <v>72</v>
      </c>
      <c r="B22" s="66" t="s">
        <v>484</v>
      </c>
      <c r="C22" s="66" t="s">
        <v>484</v>
      </c>
      <c r="D22" s="67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>
      <c r="A23" s="65" t="s">
        <v>502</v>
      </c>
      <c r="B23" s="66" t="s">
        <v>484</v>
      </c>
      <c r="C23" s="66" t="s">
        <v>484</v>
      </c>
      <c r="D23" s="67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>
      <c r="A24" s="65" t="s">
        <v>503</v>
      </c>
      <c r="B24" s="66"/>
      <c r="C24" s="66" t="s">
        <v>484</v>
      </c>
      <c r="D24" s="67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>
      <c r="A25" s="65" t="s">
        <v>504</v>
      </c>
      <c r="B25" s="66"/>
      <c r="C25" s="66" t="s">
        <v>484</v>
      </c>
      <c r="D25" s="67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>
      <c r="A26" s="65" t="s">
        <v>505</v>
      </c>
      <c r="B26" s="66"/>
      <c r="C26" s="66" t="s">
        <v>484</v>
      </c>
      <c r="D26" s="67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>
      <c r="A27" s="65" t="s">
        <v>506</v>
      </c>
      <c r="B27" s="67"/>
      <c r="C27" s="66" t="s">
        <v>484</v>
      </c>
      <c r="D27" s="6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>
      <c r="A28" s="65" t="s">
        <v>112</v>
      </c>
      <c r="B28" s="66"/>
      <c r="C28" s="66" t="s">
        <v>484</v>
      </c>
      <c r="D28" s="67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>
      <c r="A29" s="65" t="s">
        <v>78</v>
      </c>
      <c r="B29" s="66"/>
      <c r="C29" s="66" t="s">
        <v>484</v>
      </c>
      <c r="D29" s="67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>
      <c r="A30" s="65" t="s">
        <v>507</v>
      </c>
      <c r="B30" s="67"/>
      <c r="C30" s="66" t="s">
        <v>484</v>
      </c>
      <c r="D30" s="67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>
      <c r="A31" s="65" t="s">
        <v>508</v>
      </c>
      <c r="B31" s="66"/>
      <c r="C31" s="66" t="s">
        <v>484</v>
      </c>
      <c r="D31" s="67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>
      <c r="A32" s="65" t="s">
        <v>509</v>
      </c>
      <c r="B32" s="67"/>
      <c r="C32" s="66" t="s">
        <v>484</v>
      </c>
      <c r="D32" s="67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>
      <c r="A33" s="65" t="s">
        <v>510</v>
      </c>
      <c r="B33" s="66"/>
      <c r="C33" s="66" t="s">
        <v>484</v>
      </c>
      <c r="D33" s="67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>
      <c r="A34" s="65" t="s">
        <v>99</v>
      </c>
      <c r="B34" s="66"/>
      <c r="C34" s="66" t="s">
        <v>484</v>
      </c>
      <c r="D34" s="66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>
      <c r="A35" s="65" t="s">
        <v>511</v>
      </c>
      <c r="B35" s="66" t="s">
        <v>484</v>
      </c>
      <c r="C35" s="67"/>
      <c r="D35" s="67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>
      <c r="A36" s="65" t="s">
        <v>512</v>
      </c>
      <c r="B36" s="66" t="s">
        <v>484</v>
      </c>
      <c r="C36" s="67"/>
      <c r="D36" s="67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>
      <c r="A37" s="65" t="s">
        <v>513</v>
      </c>
      <c r="B37" s="66" t="s">
        <v>484</v>
      </c>
      <c r="C37" s="67"/>
      <c r="D37" s="67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>
      <c r="A38" s="65" t="s">
        <v>514</v>
      </c>
      <c r="B38" s="66" t="s">
        <v>484</v>
      </c>
      <c r="C38" s="67"/>
      <c r="D38" s="67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>
      <c r="A39" s="65" t="s">
        <v>515</v>
      </c>
      <c r="B39" s="66" t="s">
        <v>484</v>
      </c>
      <c r="C39" s="67"/>
      <c r="D39" s="67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>
      <c r="A40" s="65" t="s">
        <v>516</v>
      </c>
      <c r="B40" s="66" t="s">
        <v>484</v>
      </c>
      <c r="C40" s="67"/>
      <c r="D40" s="67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>
      <c r="A41" s="65" t="s">
        <v>517</v>
      </c>
      <c r="B41" s="66" t="s">
        <v>484</v>
      </c>
      <c r="C41" s="67"/>
      <c r="D41" s="67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>
      <c r="A42" s="65" t="s">
        <v>92</v>
      </c>
      <c r="B42" s="66" t="s">
        <v>484</v>
      </c>
      <c r="C42" s="67"/>
      <c r="D42" s="67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>
      <c r="A43" s="65" t="s">
        <v>518</v>
      </c>
      <c r="B43" s="66" t="s">
        <v>484</v>
      </c>
      <c r="C43" s="67"/>
      <c r="D43" s="67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>
      <c r="A44" s="65" t="s">
        <v>519</v>
      </c>
      <c r="B44" s="66" t="s">
        <v>484</v>
      </c>
      <c r="C44" s="67"/>
      <c r="D44" s="67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>
      <c r="A45" s="65" t="s">
        <v>520</v>
      </c>
      <c r="B45" s="66" t="s">
        <v>484</v>
      </c>
      <c r="C45" s="67"/>
      <c r="D45" s="67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>
      <c r="A46" s="65" t="s">
        <v>521</v>
      </c>
      <c r="B46" s="66" t="s">
        <v>484</v>
      </c>
      <c r="C46" s="67"/>
      <c r="D46" s="67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>
      <c r="A47" s="65" t="s">
        <v>522</v>
      </c>
      <c r="B47" s="66" t="s">
        <v>484</v>
      </c>
      <c r="C47" s="67"/>
      <c r="D47" s="67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>
      <c r="A48" s="65" t="s">
        <v>523</v>
      </c>
      <c r="B48" s="66" t="s">
        <v>484</v>
      </c>
      <c r="C48" s="67"/>
      <c r="D48" s="67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>
      <c r="A49" s="65" t="s">
        <v>524</v>
      </c>
      <c r="B49" s="66" t="s">
        <v>484</v>
      </c>
      <c r="C49" s="67"/>
      <c r="D49" s="66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>
      <c r="A50" s="65" t="s">
        <v>525</v>
      </c>
      <c r="B50" s="66" t="s">
        <v>484</v>
      </c>
      <c r="C50" s="67"/>
      <c r="D50" s="67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>
      <c r="A51" s="68" t="s">
        <v>526</v>
      </c>
      <c r="B51" s="69" t="s">
        <v>484</v>
      </c>
      <c r="C51" s="67"/>
      <c r="D51" s="67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>
      <c r="A52" s="65" t="s">
        <v>527</v>
      </c>
      <c r="B52" s="66" t="s">
        <v>484</v>
      </c>
      <c r="C52" s="67"/>
      <c r="D52" s="67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>
      <c r="A53" s="65" t="s">
        <v>528</v>
      </c>
      <c r="B53" s="66" t="s">
        <v>484</v>
      </c>
      <c r="C53" s="66"/>
      <c r="D53" s="67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>
      <c r="A54" s="65" t="s">
        <v>529</v>
      </c>
      <c r="B54" s="66" t="s">
        <v>484</v>
      </c>
      <c r="C54" s="67"/>
      <c r="D54" s="67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>
      <c r="A55" s="65" t="s">
        <v>530</v>
      </c>
      <c r="B55" s="66" t="s">
        <v>484</v>
      </c>
      <c r="C55" s="67"/>
      <c r="D55" s="67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>
      <c r="A56" s="65" t="s">
        <v>531</v>
      </c>
      <c r="B56" s="66" t="s">
        <v>484</v>
      </c>
      <c r="C56" s="67"/>
      <c r="D56" s="67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>
      <c r="A57" s="65" t="s">
        <v>532</v>
      </c>
      <c r="B57" s="66" t="s">
        <v>484</v>
      </c>
      <c r="C57" s="67"/>
      <c r="D57" s="67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>
      <c r="A58" s="65" t="s">
        <v>533</v>
      </c>
      <c r="B58" s="66" t="s">
        <v>484</v>
      </c>
      <c r="C58" s="67"/>
      <c r="D58" s="67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>
      <c r="A59" s="65" t="s">
        <v>534</v>
      </c>
      <c r="B59" s="66" t="s">
        <v>484</v>
      </c>
      <c r="C59" s="67"/>
      <c r="D59" s="67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>
      <c r="A60" s="65" t="s">
        <v>535</v>
      </c>
      <c r="B60" s="67"/>
      <c r="C60" s="67"/>
      <c r="D60" s="67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>
      <c r="A61" s="65" t="s">
        <v>536</v>
      </c>
      <c r="B61" s="67"/>
      <c r="C61" s="67"/>
      <c r="D61" s="67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>
      <c r="A62" s="65" t="s">
        <v>537</v>
      </c>
      <c r="B62" s="66"/>
      <c r="C62" s="66"/>
      <c r="D62" s="67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>
      <c r="A63" s="65" t="s">
        <v>538</v>
      </c>
      <c r="B63" s="67"/>
      <c r="C63" s="67"/>
      <c r="D63" s="67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>
      <c r="A64" s="65" t="s">
        <v>539</v>
      </c>
      <c r="B64" s="67"/>
      <c r="C64" s="67"/>
      <c r="D64" s="67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>
      <c r="A65" s="65" t="s">
        <v>540</v>
      </c>
      <c r="B65" s="67"/>
      <c r="C65" s="67"/>
      <c r="D65" s="67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>
      <c r="A66" s="65" t="s">
        <v>541</v>
      </c>
      <c r="B66" s="67"/>
      <c r="C66" s="67"/>
      <c r="D66" s="67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>
      <c r="A67" s="65" t="s">
        <v>542</v>
      </c>
      <c r="B67" s="67"/>
      <c r="C67" s="67"/>
      <c r="D67" s="66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>
      <c r="A68" s="65" t="s">
        <v>543</v>
      </c>
      <c r="B68" s="67"/>
      <c r="C68" s="67"/>
      <c r="D68" s="67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>
      <c r="A69" s="65" t="s">
        <v>544</v>
      </c>
      <c r="B69" s="67"/>
      <c r="C69" s="67"/>
      <c r="D69" s="67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>
      <c r="A70" s="65" t="s">
        <v>545</v>
      </c>
      <c r="B70" s="67"/>
      <c r="C70" s="67"/>
      <c r="D70" s="67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>
      <c r="A71" s="65" t="s">
        <v>546</v>
      </c>
      <c r="B71" s="67"/>
      <c r="C71" s="67"/>
      <c r="D71" s="67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>
      <c r="A72" s="65" t="s">
        <v>547</v>
      </c>
      <c r="B72" s="67"/>
      <c r="C72" s="67"/>
      <c r="D72" s="67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>
      <c r="A73" s="65" t="s">
        <v>548</v>
      </c>
      <c r="B73" s="67"/>
      <c r="C73" s="67"/>
      <c r="D73" s="67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>
      <c r="A74" s="65" t="s">
        <v>549</v>
      </c>
      <c r="B74" s="67"/>
      <c r="C74" s="67"/>
      <c r="D74" s="67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>
      <c r="A75" s="65" t="s">
        <v>550</v>
      </c>
      <c r="B75" s="67"/>
      <c r="C75" s="67"/>
      <c r="D75" s="67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>
      <c r="A76" s="65" t="s">
        <v>551</v>
      </c>
      <c r="B76" s="67"/>
      <c r="C76" s="67"/>
      <c r="D76" s="67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>
      <c r="A77" s="65" t="s">
        <v>552</v>
      </c>
      <c r="B77" s="67"/>
      <c r="C77" s="67"/>
      <c r="D77" s="67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>
      <c r="A78" s="65" t="s">
        <v>553</v>
      </c>
      <c r="B78" s="67"/>
      <c r="C78" s="67"/>
      <c r="D78" s="67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>
      <c r="A79" s="65" t="s">
        <v>554</v>
      </c>
      <c r="B79" s="67"/>
      <c r="C79" s="67"/>
      <c r="D79" s="67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>
      <c r="A80" s="65" t="s">
        <v>555</v>
      </c>
      <c r="B80" s="67"/>
      <c r="C80" s="67"/>
      <c r="D80" s="67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>
      <c r="A81" s="65" t="s">
        <v>556</v>
      </c>
      <c r="B81" s="67"/>
      <c r="C81" s="67"/>
      <c r="D81" s="67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>
      <c r="A82" s="65" t="s">
        <v>557</v>
      </c>
      <c r="B82" s="67"/>
      <c r="C82" s="67"/>
      <c r="D82" s="67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>
      <c r="A83" s="65" t="s">
        <v>558</v>
      </c>
      <c r="B83" s="67"/>
      <c r="C83" s="67"/>
      <c r="D83" s="67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>
      <c r="A84" s="65" t="s">
        <v>559</v>
      </c>
      <c r="B84" s="67"/>
      <c r="C84" s="67"/>
      <c r="D84" s="67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>
      <c r="A85" s="65" t="s">
        <v>560</v>
      </c>
      <c r="B85" s="66"/>
      <c r="C85" s="67"/>
      <c r="D85" s="67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>
      <c r="A86" s="65" t="s">
        <v>561</v>
      </c>
      <c r="B86" s="67"/>
      <c r="C86" s="67"/>
      <c r="D86" s="67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>
      <c r="A87" s="65" t="s">
        <v>562</v>
      </c>
      <c r="B87" s="67"/>
      <c r="C87" s="67"/>
      <c r="D87" s="67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>
      <c r="A88" s="65" t="s">
        <v>563</v>
      </c>
      <c r="B88" s="67"/>
      <c r="C88" s="67"/>
      <c r="D88" s="67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>
      <c r="A89" s="65" t="s">
        <v>564</v>
      </c>
      <c r="B89" s="67"/>
      <c r="C89" s="67"/>
      <c r="D89" s="67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>
      <c r="A90" s="65" t="s">
        <v>565</v>
      </c>
      <c r="B90" s="67"/>
      <c r="C90" s="67"/>
      <c r="D90" s="67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>
      <c r="A91" s="65" t="s">
        <v>566</v>
      </c>
      <c r="B91" s="67"/>
      <c r="C91" s="67"/>
      <c r="D91" s="67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>
      <c r="A92" s="65" t="s">
        <v>567</v>
      </c>
      <c r="B92" s="67"/>
      <c r="C92" s="67"/>
      <c r="D92" s="67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>
      <c r="A93" s="65" t="s">
        <v>568</v>
      </c>
      <c r="B93" s="67"/>
      <c r="C93" s="67"/>
      <c r="D93" s="67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>
      <c r="A94" s="65" t="s">
        <v>569</v>
      </c>
      <c r="B94" s="67"/>
      <c r="C94" s="67"/>
      <c r="D94" s="67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>
      <c r="A95" s="65" t="s">
        <v>570</v>
      </c>
      <c r="B95" s="67"/>
      <c r="C95" s="67"/>
      <c r="D95" s="67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>
      <c r="A96" s="65" t="s">
        <v>571</v>
      </c>
      <c r="B96" s="67"/>
      <c r="C96" s="67"/>
      <c r="D96" s="67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>
      <c r="A97" s="65" t="s">
        <v>572</v>
      </c>
      <c r="B97" s="67"/>
      <c r="C97" s="67"/>
      <c r="D97" s="67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>
      <c r="A98" s="65" t="s">
        <v>573</v>
      </c>
      <c r="B98" s="67"/>
      <c r="C98" s="67"/>
      <c r="D98" s="67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>
      <c r="A99" s="65" t="s">
        <v>574</v>
      </c>
      <c r="B99" s="67"/>
      <c r="C99" s="67"/>
      <c r="D99" s="67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>
      <c r="A100" s="65" t="s">
        <v>575</v>
      </c>
      <c r="B100" s="67"/>
      <c r="C100" s="67"/>
      <c r="D100" s="67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>
      <c r="A101" s="65" t="s">
        <v>576</v>
      </c>
      <c r="B101" s="67"/>
      <c r="C101" s="67"/>
      <c r="D101" s="67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>
      <c r="A102" s="65" t="s">
        <v>577</v>
      </c>
      <c r="B102" s="67"/>
      <c r="C102" s="67"/>
      <c r="D102" s="67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>
      <c r="A103" s="65" t="s">
        <v>578</v>
      </c>
      <c r="B103" s="67"/>
      <c r="C103" s="67"/>
      <c r="D103" s="67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>
      <c r="A104" s="65" t="s">
        <v>579</v>
      </c>
      <c r="B104" s="67"/>
      <c r="C104" s="67"/>
      <c r="D104" s="67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>
      <c r="A105" s="65" t="s">
        <v>580</v>
      </c>
      <c r="B105" s="67"/>
      <c r="C105" s="67"/>
      <c r="D105" s="67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>
      <c r="A106" s="65" t="s">
        <v>581</v>
      </c>
      <c r="B106" s="67"/>
      <c r="C106" s="67"/>
      <c r="D106" s="67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>
      <c r="A107" s="65" t="s">
        <v>582</v>
      </c>
      <c r="B107" s="67"/>
      <c r="C107" s="67"/>
      <c r="D107" s="67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>
      <c r="A108" s="65" t="s">
        <v>583</v>
      </c>
      <c r="B108" s="67"/>
      <c r="C108" s="67"/>
      <c r="D108" s="67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>
      <c r="A109" s="65" t="s">
        <v>584</v>
      </c>
      <c r="B109" s="67"/>
      <c r="C109" s="67"/>
      <c r="D109" s="67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>
      <c r="A110" s="65" t="s">
        <v>585</v>
      </c>
      <c r="B110" s="67"/>
      <c r="C110" s="67"/>
      <c r="D110" s="67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>
      <c r="A111" s="65" t="s">
        <v>586</v>
      </c>
      <c r="B111" s="67"/>
      <c r="C111" s="67"/>
      <c r="D111" s="67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>
      <c r="A112" s="65" t="s">
        <v>587</v>
      </c>
      <c r="B112" s="67"/>
      <c r="C112" s="67"/>
      <c r="D112" s="67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>
      <c r="A113" s="65" t="s">
        <v>588</v>
      </c>
      <c r="B113" s="67"/>
      <c r="C113" s="67"/>
      <c r="D113" s="67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>
      <c r="A114" s="65" t="s">
        <v>589</v>
      </c>
      <c r="B114" s="67"/>
      <c r="C114" s="67"/>
      <c r="D114" s="67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>
      <c r="A115" s="65" t="s">
        <v>590</v>
      </c>
      <c r="B115" s="67"/>
      <c r="C115" s="67"/>
      <c r="D115" s="67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>
      <c r="A116" s="65" t="s">
        <v>591</v>
      </c>
      <c r="B116" s="67"/>
      <c r="C116" s="67"/>
      <c r="D116" s="67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>
      <c r="A117" s="65" t="s">
        <v>592</v>
      </c>
      <c r="B117" s="67"/>
      <c r="C117" s="67"/>
      <c r="D117" s="67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>
      <c r="A118" s="65" t="s">
        <v>593</v>
      </c>
      <c r="B118" s="67"/>
      <c r="C118" s="67"/>
      <c r="D118" s="67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>
      <c r="A119" s="65" t="s">
        <v>594</v>
      </c>
      <c r="B119" s="67"/>
      <c r="C119" s="67"/>
      <c r="D119" s="67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>
      <c r="A120" s="65" t="s">
        <v>595</v>
      </c>
      <c r="B120" s="67"/>
      <c r="C120" s="67"/>
      <c r="D120" s="67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>
      <c r="A121" s="65" t="s">
        <v>596</v>
      </c>
      <c r="B121" s="67"/>
      <c r="C121" s="67"/>
      <c r="D121" s="67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>
      <c r="A122" s="65" t="s">
        <v>597</v>
      </c>
      <c r="B122" s="67"/>
      <c r="C122" s="67"/>
      <c r="D122" s="67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>
      <c r="A123" s="65" t="s">
        <v>598</v>
      </c>
      <c r="B123" s="67"/>
      <c r="C123" s="67"/>
      <c r="D123" s="67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>
      <c r="A124" s="65" t="s">
        <v>599</v>
      </c>
      <c r="B124" s="67"/>
      <c r="C124" s="67"/>
      <c r="D124" s="67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>
      <c r="A125" s="65" t="s">
        <v>600</v>
      </c>
      <c r="B125" s="67"/>
      <c r="C125" s="67"/>
      <c r="D125" s="67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>
      <c r="A126" s="65" t="s">
        <v>601</v>
      </c>
      <c r="B126" s="67"/>
      <c r="C126" s="67"/>
      <c r="D126" s="67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>
      <c r="A127" s="65" t="s">
        <v>602</v>
      </c>
      <c r="B127" s="67"/>
      <c r="C127" s="67"/>
      <c r="D127" s="67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>
      <c r="A128" s="65" t="s">
        <v>603</v>
      </c>
      <c r="B128" s="67"/>
      <c r="C128" s="67"/>
      <c r="D128" s="67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>
      <c r="A129" s="65" t="s">
        <v>604</v>
      </c>
      <c r="B129" s="66"/>
      <c r="C129" s="66"/>
      <c r="D129" s="67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>
      <c r="A130" s="65" t="s">
        <v>604</v>
      </c>
      <c r="B130" s="67"/>
      <c r="C130" s="67"/>
      <c r="D130" s="67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>
      <c r="A131" s="65" t="s">
        <v>605</v>
      </c>
      <c r="B131" s="67"/>
      <c r="C131" s="67"/>
      <c r="D131" s="66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>
      <c r="A132" s="65" t="s">
        <v>606</v>
      </c>
      <c r="B132" s="67"/>
      <c r="C132" s="67"/>
      <c r="D132" s="67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>
      <c r="A133" s="65" t="s">
        <v>607</v>
      </c>
      <c r="B133" s="67"/>
      <c r="C133" s="67"/>
      <c r="D133" s="67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>
      <c r="A134" s="65" t="s">
        <v>608</v>
      </c>
      <c r="B134" s="67"/>
      <c r="C134" s="67"/>
      <c r="D134" s="67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>
      <c r="A135" s="65" t="s">
        <v>609</v>
      </c>
      <c r="B135" s="67"/>
      <c r="C135" s="67"/>
      <c r="D135" s="67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>
      <c r="A136" s="65" t="s">
        <v>610</v>
      </c>
      <c r="B136" s="67"/>
      <c r="C136" s="67"/>
      <c r="D136" s="67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>
      <c r="A137" s="65" t="s">
        <v>611</v>
      </c>
      <c r="B137" s="67"/>
      <c r="C137" s="67"/>
      <c r="D137" s="67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>
      <c r="A138" s="65" t="s">
        <v>612</v>
      </c>
      <c r="B138" s="67"/>
      <c r="C138" s="67"/>
      <c r="D138" s="67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>
      <c r="A139" s="65" t="s">
        <v>613</v>
      </c>
      <c r="B139" s="66"/>
      <c r="C139" s="67"/>
      <c r="D139" s="67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>
      <c r="A140" s="65" t="s">
        <v>614</v>
      </c>
      <c r="B140" s="67"/>
      <c r="C140" s="67"/>
      <c r="D140" s="66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>
      <c r="A141" s="65" t="s">
        <v>615</v>
      </c>
      <c r="B141" s="67"/>
      <c r="C141" s="67"/>
      <c r="D141" s="67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>
      <c r="A142" s="65" t="s">
        <v>616</v>
      </c>
      <c r="B142" s="67"/>
      <c r="C142" s="67"/>
      <c r="D142" s="67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>
      <c r="A143" s="65" t="s">
        <v>617</v>
      </c>
      <c r="B143" s="67"/>
      <c r="C143" s="67"/>
      <c r="D143" s="67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>
      <c r="A144" s="65" t="s">
        <v>618</v>
      </c>
      <c r="B144" s="67"/>
      <c r="C144" s="67"/>
      <c r="D144" s="67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>
      <c r="A145" s="65" t="s">
        <v>619</v>
      </c>
      <c r="B145" s="67"/>
      <c r="C145" s="67"/>
      <c r="D145" s="67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>
      <c r="A146" s="65" t="s">
        <v>620</v>
      </c>
      <c r="B146" s="67"/>
      <c r="C146" s="67"/>
      <c r="D146" s="67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>
      <c r="A147" s="65" t="s">
        <v>621</v>
      </c>
      <c r="B147" s="67"/>
      <c r="C147" s="67"/>
      <c r="D147" s="67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>
      <c r="A148" s="65" t="s">
        <v>622</v>
      </c>
      <c r="B148" s="67"/>
      <c r="C148" s="67"/>
      <c r="D148" s="67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>
      <c r="A149" s="65" t="s">
        <v>623</v>
      </c>
      <c r="B149" s="67"/>
      <c r="C149" s="67"/>
      <c r="D149" s="67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>
      <c r="A150" s="65" t="s">
        <v>624</v>
      </c>
      <c r="B150" s="67"/>
      <c r="C150" s="67"/>
      <c r="D150" s="67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>
      <c r="A151" s="65" t="s">
        <v>625</v>
      </c>
      <c r="B151" s="67"/>
      <c r="C151" s="67"/>
      <c r="D151" s="67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>
      <c r="A152" s="65" t="s">
        <v>626</v>
      </c>
      <c r="B152" s="67"/>
      <c r="C152" s="67"/>
      <c r="D152" s="67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>
      <c r="A153" s="65" t="s">
        <v>627</v>
      </c>
      <c r="B153" s="67"/>
      <c r="C153" s="67"/>
      <c r="D153" s="67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>
      <c r="A154" s="65" t="s">
        <v>628</v>
      </c>
      <c r="B154" s="67"/>
      <c r="C154" s="67"/>
      <c r="D154" s="67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>
      <c r="A155" s="65" t="s">
        <v>629</v>
      </c>
      <c r="B155" s="67"/>
      <c r="C155" s="67"/>
      <c r="D155" s="67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>
      <c r="A156" s="65" t="s">
        <v>630</v>
      </c>
      <c r="B156" s="67"/>
      <c r="C156" s="67"/>
      <c r="D156" s="67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>
      <c r="A157" s="65" t="s">
        <v>631</v>
      </c>
      <c r="B157" s="67"/>
      <c r="C157" s="67"/>
      <c r="D157" s="67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>
      <c r="A158" s="65" t="s">
        <v>632</v>
      </c>
      <c r="B158" s="67"/>
      <c r="C158" s="67"/>
      <c r="D158" s="67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>
      <c r="A159" s="65" t="s">
        <v>633</v>
      </c>
      <c r="B159" s="67"/>
      <c r="C159" s="67"/>
      <c r="D159" s="67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>
      <c r="A160" s="65" t="s">
        <v>634</v>
      </c>
      <c r="B160" s="67"/>
      <c r="C160" s="67"/>
      <c r="D160" s="67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>
      <c r="A161" s="65" t="s">
        <v>635</v>
      </c>
      <c r="B161" s="67"/>
      <c r="C161" s="67"/>
      <c r="D161" s="67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>
      <c r="A162" s="65" t="s">
        <v>636</v>
      </c>
      <c r="B162" s="67"/>
      <c r="C162" s="67"/>
      <c r="D162" s="67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>
      <c r="A163" s="65" t="s">
        <v>637</v>
      </c>
      <c r="B163" s="67"/>
      <c r="C163" s="67"/>
      <c r="D163" s="67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>
      <c r="A164" s="65" t="s">
        <v>638</v>
      </c>
      <c r="B164" s="66"/>
      <c r="C164" s="67"/>
      <c r="D164" s="67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>
      <c r="A165" s="65" t="s">
        <v>639</v>
      </c>
      <c r="B165" s="66"/>
      <c r="C165" s="66"/>
      <c r="D165" s="66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>
      <c r="A166" s="65" t="s">
        <v>640</v>
      </c>
      <c r="B166" s="67"/>
      <c r="C166" s="67"/>
      <c r="D166" s="67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>
      <c r="A167" s="65" t="s">
        <v>641</v>
      </c>
      <c r="B167" s="67"/>
      <c r="C167" s="67"/>
      <c r="D167" s="67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>
      <c r="A168" s="65" t="s">
        <v>642</v>
      </c>
      <c r="B168" s="67"/>
      <c r="C168" s="67"/>
      <c r="D168" s="67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>
      <c r="A169" s="65" t="s">
        <v>643</v>
      </c>
      <c r="B169" s="66"/>
      <c r="C169" s="66"/>
      <c r="D169" s="67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>
      <c r="A170" s="65" t="s">
        <v>644</v>
      </c>
      <c r="B170" s="67"/>
      <c r="C170" s="67"/>
      <c r="D170" s="67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>
      <c r="A171" s="65" t="s">
        <v>645</v>
      </c>
      <c r="B171" s="67"/>
      <c r="C171" s="67"/>
      <c r="D171" s="67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>
      <c r="A172" s="65" t="s">
        <v>646</v>
      </c>
      <c r="B172" s="67"/>
      <c r="C172" s="67"/>
      <c r="D172" s="67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>
      <c r="A173" s="65" t="s">
        <v>647</v>
      </c>
      <c r="B173" s="67"/>
      <c r="C173" s="67"/>
      <c r="D173" s="67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>
      <c r="A174" s="65" t="s">
        <v>648</v>
      </c>
      <c r="B174" s="67"/>
      <c r="C174" s="67"/>
      <c r="D174" s="67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>
      <c r="A175" s="65" t="s">
        <v>649</v>
      </c>
      <c r="B175" s="67"/>
      <c r="C175" s="67"/>
      <c r="D175" s="67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>
      <c r="A176" s="65" t="s">
        <v>650</v>
      </c>
      <c r="B176" s="67"/>
      <c r="C176" s="67"/>
      <c r="D176" s="67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>
      <c r="A177" s="65" t="s">
        <v>651</v>
      </c>
      <c r="B177" s="67"/>
      <c r="C177" s="67"/>
      <c r="D177" s="67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>
      <c r="A178" s="65" t="s">
        <v>652</v>
      </c>
      <c r="B178" s="67"/>
      <c r="C178" s="67"/>
      <c r="D178" s="67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>
      <c r="A179" s="65" t="s">
        <v>653</v>
      </c>
      <c r="B179" s="67"/>
      <c r="C179" s="67"/>
      <c r="D179" s="67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>
      <c r="A180" s="65" t="s">
        <v>654</v>
      </c>
      <c r="B180" s="67"/>
      <c r="C180" s="67"/>
      <c r="D180" s="67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>
      <c r="A181" s="65" t="s">
        <v>655</v>
      </c>
      <c r="B181" s="67"/>
      <c r="C181" s="67"/>
      <c r="D181" s="67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>
      <c r="A182" s="65" t="s">
        <v>656</v>
      </c>
      <c r="B182" s="67"/>
      <c r="C182" s="67"/>
      <c r="D182" s="67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>
      <c r="A183" s="65" t="s">
        <v>657</v>
      </c>
      <c r="B183" s="67"/>
      <c r="C183" s="67"/>
      <c r="D183" s="67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>
      <c r="A184" s="65" t="s">
        <v>658</v>
      </c>
      <c r="B184" s="66"/>
      <c r="C184" s="66"/>
      <c r="D184" s="67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>
      <c r="A185" s="65" t="s">
        <v>659</v>
      </c>
      <c r="B185" s="67"/>
      <c r="C185" s="67"/>
      <c r="D185" s="67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>
      <c r="A186" s="65" t="s">
        <v>660</v>
      </c>
      <c r="B186" s="67"/>
      <c r="C186" s="67"/>
      <c r="D186" s="67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>
      <c r="A187" s="65" t="s">
        <v>661</v>
      </c>
      <c r="B187" s="67"/>
      <c r="C187" s="67"/>
      <c r="D187" s="67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>
      <c r="A188" s="65" t="s">
        <v>662</v>
      </c>
      <c r="B188" s="67"/>
      <c r="C188" s="67"/>
      <c r="D188" s="67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>
      <c r="A189" s="65" t="s">
        <v>663</v>
      </c>
      <c r="B189" s="67"/>
      <c r="C189" s="67"/>
      <c r="D189" s="67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>
      <c r="A190" s="65" t="s">
        <v>664</v>
      </c>
      <c r="B190" s="67"/>
      <c r="C190" s="67"/>
      <c r="D190" s="67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>
      <c r="A191" s="65" t="s">
        <v>110</v>
      </c>
      <c r="B191" s="67"/>
      <c r="C191" s="67"/>
      <c r="D191" s="67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>
      <c r="A192" s="65" t="s">
        <v>48</v>
      </c>
      <c r="B192" s="67"/>
      <c r="C192" s="67"/>
      <c r="D192" s="67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>
      <c r="A193" s="65" t="s">
        <v>665</v>
      </c>
      <c r="B193" s="67"/>
      <c r="C193" s="67"/>
      <c r="D193" s="67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>
      <c r="A194" s="65" t="s">
        <v>666</v>
      </c>
      <c r="B194" s="67"/>
      <c r="C194" s="67"/>
      <c r="D194" s="67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>
      <c r="A195" s="65" t="s">
        <v>667</v>
      </c>
      <c r="B195" s="67"/>
      <c r="C195" s="67"/>
      <c r="D195" s="67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>
      <c r="A196" s="65" t="s">
        <v>668</v>
      </c>
      <c r="B196" s="67"/>
      <c r="C196" s="67"/>
      <c r="D196" s="67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>
      <c r="A197" s="70" t="s">
        <v>669</v>
      </c>
      <c r="B197" s="67"/>
      <c r="C197" s="67"/>
      <c r="D197" s="67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>
      <c r="A198" s="65" t="s">
        <v>670</v>
      </c>
      <c r="B198" s="67"/>
      <c r="C198" s="67"/>
      <c r="D198" s="67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>
      <c r="A199" s="65" t="s">
        <v>671</v>
      </c>
      <c r="B199" s="67"/>
      <c r="C199" s="67"/>
      <c r="D199" s="67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>
      <c r="A200" s="65" t="s">
        <v>672</v>
      </c>
      <c r="B200" s="67"/>
      <c r="C200" s="67"/>
      <c r="D200" s="67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>
      <c r="A201" s="65" t="s">
        <v>673</v>
      </c>
      <c r="B201" s="67"/>
      <c r="C201" s="67"/>
      <c r="D201" s="67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>
      <c r="A202" s="65" t="s">
        <v>674</v>
      </c>
      <c r="B202" s="67"/>
      <c r="C202" s="67"/>
      <c r="D202" s="67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>
      <c r="A203" s="65" t="s">
        <v>675</v>
      </c>
      <c r="B203" s="67"/>
      <c r="C203" s="67"/>
      <c r="D203" s="67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>
      <c r="A204" s="65" t="s">
        <v>676</v>
      </c>
      <c r="B204" s="67"/>
      <c r="C204" s="67"/>
      <c r="D204" s="67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>
      <c r="A205" s="65" t="s">
        <v>677</v>
      </c>
      <c r="B205" s="67"/>
      <c r="C205" s="67"/>
      <c r="D205" s="67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>
      <c r="A206" s="65" t="s">
        <v>91</v>
      </c>
      <c r="B206" s="67"/>
      <c r="C206" s="67"/>
      <c r="D206" s="67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>
      <c r="A207" s="65" t="s">
        <v>678</v>
      </c>
      <c r="B207" s="67"/>
      <c r="C207" s="67"/>
      <c r="D207" s="67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>
      <c r="A208" s="65" t="s">
        <v>679</v>
      </c>
      <c r="B208" s="67"/>
      <c r="C208" s="67"/>
      <c r="D208" s="67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>
      <c r="A209" s="65" t="s">
        <v>680</v>
      </c>
      <c r="B209" s="67"/>
      <c r="C209" s="67"/>
      <c r="D209" s="67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>
      <c r="A210" s="65" t="s">
        <v>681</v>
      </c>
      <c r="B210" s="67"/>
      <c r="C210" s="67"/>
      <c r="D210" s="67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>
      <c r="A211" s="65" t="s">
        <v>682</v>
      </c>
      <c r="B211" s="67"/>
      <c r="C211" s="67"/>
      <c r="D211" s="67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>
      <c r="A212" s="65" t="s">
        <v>683</v>
      </c>
      <c r="B212" s="67"/>
      <c r="C212" s="67"/>
      <c r="D212" s="67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>
      <c r="A213" s="65" t="s">
        <v>684</v>
      </c>
      <c r="B213" s="67"/>
      <c r="C213" s="67"/>
      <c r="D213" s="67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>
      <c r="A214" s="65" t="s">
        <v>685</v>
      </c>
      <c r="B214" s="67"/>
      <c r="C214" s="67"/>
      <c r="D214" s="67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>
      <c r="A215" s="65" t="s">
        <v>686</v>
      </c>
      <c r="B215" s="67"/>
      <c r="C215" s="67"/>
      <c r="D215" s="67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>
      <c r="A216" s="65" t="s">
        <v>687</v>
      </c>
      <c r="B216" s="67"/>
      <c r="C216" s="67"/>
      <c r="D216" s="67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>
      <c r="A217" s="65" t="s">
        <v>688</v>
      </c>
      <c r="B217" s="67"/>
      <c r="C217" s="67"/>
      <c r="D217" s="67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>
      <c r="A218" s="65" t="s">
        <v>689</v>
      </c>
      <c r="B218" s="67"/>
      <c r="C218" s="67"/>
      <c r="D218" s="67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>
      <c r="A219" s="65" t="s">
        <v>690</v>
      </c>
      <c r="B219" s="67"/>
      <c r="C219" s="67"/>
      <c r="D219" s="67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>
      <c r="A220" s="65" t="s">
        <v>691</v>
      </c>
      <c r="B220" s="67"/>
      <c r="C220" s="67"/>
      <c r="D220" s="67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>
      <c r="A221" s="65" t="s">
        <v>87</v>
      </c>
      <c r="B221" s="67"/>
      <c r="C221" s="67"/>
      <c r="D221" s="67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>
      <c r="A222" s="65" t="s">
        <v>692</v>
      </c>
      <c r="B222" s="67"/>
      <c r="C222" s="67"/>
      <c r="D222" s="67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>
      <c r="A223" s="65" t="s">
        <v>693</v>
      </c>
      <c r="B223" s="67"/>
      <c r="C223" s="67"/>
      <c r="D223" s="67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>
      <c r="A224" s="65" t="s">
        <v>694</v>
      </c>
      <c r="B224" s="67"/>
      <c r="C224" s="67"/>
      <c r="D224" s="67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>
      <c r="A225" s="65" t="s">
        <v>695</v>
      </c>
      <c r="B225" s="67"/>
      <c r="C225" s="67"/>
      <c r="D225" s="67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>
      <c r="A226" s="65" t="s">
        <v>696</v>
      </c>
      <c r="B226" s="67"/>
      <c r="C226" s="67"/>
      <c r="D226" s="67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>
      <c r="A227" s="65" t="s">
        <v>697</v>
      </c>
      <c r="B227" s="67"/>
      <c r="C227" s="67"/>
      <c r="D227" s="67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>
      <c r="A228" s="65" t="s">
        <v>698</v>
      </c>
      <c r="B228" s="67"/>
      <c r="C228" s="67"/>
      <c r="D228" s="67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>
      <c r="A229" s="65" t="s">
        <v>699</v>
      </c>
      <c r="B229" s="67"/>
      <c r="C229" s="67"/>
      <c r="D229" s="67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>
      <c r="A230" s="65" t="s">
        <v>700</v>
      </c>
      <c r="B230" s="67"/>
      <c r="C230" s="67"/>
      <c r="D230" s="67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>
      <c r="A231" s="65" t="s">
        <v>701</v>
      </c>
      <c r="B231" s="67"/>
      <c r="C231" s="67"/>
      <c r="D231" s="67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>
      <c r="A232" s="65" t="s">
        <v>702</v>
      </c>
      <c r="B232" s="67"/>
      <c r="C232" s="67"/>
      <c r="D232" s="67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>
      <c r="A233" s="65" t="s">
        <v>703</v>
      </c>
      <c r="B233" s="67"/>
      <c r="C233" s="67"/>
      <c r="D233" s="67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>
      <c r="A234" s="65" t="s">
        <v>704</v>
      </c>
      <c r="B234" s="67"/>
      <c r="C234" s="67"/>
      <c r="D234" s="67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>
      <c r="A235" s="65" t="s">
        <v>705</v>
      </c>
      <c r="B235" s="67"/>
      <c r="C235" s="67"/>
      <c r="D235" s="67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>
      <c r="A236" s="65" t="s">
        <v>706</v>
      </c>
      <c r="B236" s="66"/>
      <c r="C236" s="66"/>
      <c r="D236" s="67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>
      <c r="A237" s="65" t="s">
        <v>707</v>
      </c>
      <c r="B237" s="67"/>
      <c r="C237" s="67"/>
      <c r="D237" s="67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>
      <c r="A238" s="65" t="s">
        <v>708</v>
      </c>
      <c r="B238" s="67"/>
      <c r="C238" s="67"/>
      <c r="D238" s="67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>
      <c r="A239" s="65" t="s">
        <v>709</v>
      </c>
      <c r="B239" s="67"/>
      <c r="C239" s="67"/>
      <c r="D239" s="67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>
      <c r="A240" s="65" t="s">
        <v>710</v>
      </c>
      <c r="B240" s="67"/>
      <c r="C240" s="67"/>
      <c r="D240" s="67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>
      <c r="A241" s="65" t="s">
        <v>711</v>
      </c>
      <c r="B241" s="67"/>
      <c r="C241" s="67"/>
      <c r="D241" s="67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>
      <c r="A242" s="65" t="s">
        <v>712</v>
      </c>
      <c r="B242" s="66"/>
      <c r="C242" s="67"/>
      <c r="D242" s="67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>
      <c r="A243" s="65" t="s">
        <v>713</v>
      </c>
      <c r="B243" s="67"/>
      <c r="C243" s="67"/>
      <c r="D243" s="67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>
      <c r="A244" s="65" t="s">
        <v>714</v>
      </c>
      <c r="B244" s="67"/>
      <c r="C244" s="67"/>
      <c r="D244" s="67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>
      <c r="A245" s="65" t="s">
        <v>715</v>
      </c>
      <c r="B245" s="67"/>
      <c r="C245" s="67"/>
      <c r="D245" s="67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>
      <c r="A246" s="65" t="s">
        <v>716</v>
      </c>
      <c r="B246" s="67"/>
      <c r="C246" s="67"/>
      <c r="D246" s="67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>
      <c r="A247" s="65" t="s">
        <v>717</v>
      </c>
      <c r="B247" s="67"/>
      <c r="C247" s="67"/>
      <c r="D247" s="67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>
      <c r="A248" s="65" t="s">
        <v>718</v>
      </c>
      <c r="B248" s="67"/>
      <c r="C248" s="67"/>
      <c r="D248" s="67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>
      <c r="A249" s="65" t="s">
        <v>719</v>
      </c>
      <c r="B249" s="67"/>
      <c r="C249" s="67"/>
      <c r="D249" s="67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>
      <c r="A250" s="65" t="s">
        <v>720</v>
      </c>
      <c r="B250" s="67"/>
      <c r="C250" s="67"/>
      <c r="D250" s="67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>
      <c r="A251" s="65" t="s">
        <v>721</v>
      </c>
      <c r="B251" s="67"/>
      <c r="C251" s="67"/>
      <c r="D251" s="67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>
      <c r="A252" s="65" t="s">
        <v>722</v>
      </c>
      <c r="B252" s="67"/>
      <c r="C252" s="67"/>
      <c r="D252" s="67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>
      <c r="A253" s="65" t="s">
        <v>723</v>
      </c>
      <c r="B253" s="67"/>
      <c r="C253" s="67"/>
      <c r="D253" s="67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>
      <c r="A254" s="65" t="s">
        <v>724</v>
      </c>
      <c r="B254" s="67"/>
      <c r="C254" s="67"/>
      <c r="D254" s="67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>
      <c r="A255" s="65" t="s">
        <v>725</v>
      </c>
      <c r="B255" s="67"/>
      <c r="C255" s="67"/>
      <c r="D255" s="67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>
      <c r="A256" s="65" t="s">
        <v>726</v>
      </c>
      <c r="B256" s="67"/>
      <c r="C256" s="67"/>
      <c r="D256" s="67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>
      <c r="A257" s="65" t="s">
        <v>727</v>
      </c>
      <c r="B257" s="67"/>
      <c r="C257" s="67"/>
      <c r="D257" s="67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>
      <c r="A258" s="65" t="s">
        <v>728</v>
      </c>
      <c r="B258" s="67"/>
      <c r="C258" s="67"/>
      <c r="D258" s="67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>
      <c r="A259" s="65" t="s">
        <v>729</v>
      </c>
      <c r="B259" s="67"/>
      <c r="C259" s="67"/>
      <c r="D259" s="67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>
      <c r="A260" s="65" t="s">
        <v>730</v>
      </c>
      <c r="B260" s="67"/>
      <c r="C260" s="67"/>
      <c r="D260" s="67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>
      <c r="A261" s="65" t="s">
        <v>731</v>
      </c>
      <c r="B261" s="67"/>
      <c r="C261" s="67"/>
      <c r="D261" s="67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>
      <c r="A262" s="65" t="s">
        <v>732</v>
      </c>
      <c r="B262" s="66"/>
      <c r="C262" s="66"/>
      <c r="D262" s="66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>
      <c r="A263" s="65" t="s">
        <v>733</v>
      </c>
      <c r="B263" s="67"/>
      <c r="C263" s="67"/>
      <c r="D263" s="67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>
      <c r="A264" s="65" t="s">
        <v>734</v>
      </c>
      <c r="B264" s="67"/>
      <c r="C264" s="67"/>
      <c r="D264" s="67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>
      <c r="A265" s="65" t="s">
        <v>735</v>
      </c>
      <c r="B265" s="67"/>
      <c r="C265" s="67"/>
      <c r="D265" s="67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>
      <c r="A266" s="65" t="s">
        <v>736</v>
      </c>
      <c r="B266" s="67"/>
      <c r="C266" s="67"/>
      <c r="D266" s="67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>
      <c r="A267" s="65" t="s">
        <v>737</v>
      </c>
      <c r="B267" s="66"/>
      <c r="C267" s="66"/>
      <c r="D267" s="66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>
      <c r="A268" s="65" t="s">
        <v>738</v>
      </c>
      <c r="B268" s="67"/>
      <c r="C268" s="67"/>
      <c r="D268" s="67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>
      <c r="A269" s="65" t="s">
        <v>739</v>
      </c>
      <c r="B269" s="67"/>
      <c r="C269" s="67"/>
      <c r="D269" s="67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>
      <c r="A270" s="65" t="s">
        <v>528</v>
      </c>
      <c r="B270" s="67"/>
      <c r="C270" s="67"/>
      <c r="D270" s="67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>
      <c r="A271" s="65" t="s">
        <v>114</v>
      </c>
      <c r="B271" s="67"/>
      <c r="C271" s="67"/>
      <c r="D271" s="67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>
      <c r="A272" s="65" t="s">
        <v>740</v>
      </c>
      <c r="B272" s="67"/>
      <c r="C272" s="67"/>
      <c r="D272" s="67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>
      <c r="A273" s="65" t="s">
        <v>741</v>
      </c>
      <c r="B273" s="67"/>
      <c r="C273" s="67"/>
      <c r="D273" s="67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>
      <c r="A274" s="65" t="s">
        <v>742</v>
      </c>
      <c r="B274" s="67"/>
      <c r="C274" s="67"/>
      <c r="D274" s="67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>
      <c r="A275" s="65" t="s">
        <v>743</v>
      </c>
      <c r="B275" s="67"/>
      <c r="C275" s="67"/>
      <c r="D275" s="67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>
      <c r="A276" s="65" t="s">
        <v>744</v>
      </c>
      <c r="B276" s="67"/>
      <c r="C276" s="67"/>
      <c r="D276" s="67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>
      <c r="A277" s="65" t="s">
        <v>46</v>
      </c>
      <c r="B277" s="66"/>
      <c r="C277" s="67"/>
      <c r="D277" s="66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>
      <c r="A278" s="65" t="s">
        <v>745</v>
      </c>
      <c r="B278" s="67"/>
      <c r="C278" s="67"/>
      <c r="D278" s="67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>
      <c r="A279" s="65" t="s">
        <v>746</v>
      </c>
      <c r="B279" s="67"/>
      <c r="C279" s="67"/>
      <c r="D279" s="66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>
      <c r="A280" s="65" t="s">
        <v>747</v>
      </c>
      <c r="B280" s="67"/>
      <c r="C280" s="67"/>
      <c r="D280" s="67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>
      <c r="A281" s="65" t="s">
        <v>748</v>
      </c>
      <c r="B281" s="67"/>
      <c r="C281" s="67"/>
      <c r="D281" s="67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>
      <c r="A282" s="65" t="s">
        <v>749</v>
      </c>
      <c r="B282" s="67"/>
      <c r="C282" s="67"/>
      <c r="D282" s="67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>
      <c r="A283" s="65" t="s">
        <v>82</v>
      </c>
      <c r="B283" s="67"/>
      <c r="C283" s="67"/>
      <c r="D283" s="67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>
      <c r="A284" s="65" t="s">
        <v>750</v>
      </c>
      <c r="B284" s="67"/>
      <c r="C284" s="67"/>
      <c r="D284" s="67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>
      <c r="A285" s="65" t="s">
        <v>751</v>
      </c>
      <c r="B285" s="66"/>
      <c r="C285" s="67"/>
      <c r="D285" s="67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>
      <c r="A286" s="65" t="s">
        <v>752</v>
      </c>
      <c r="B286" s="67"/>
      <c r="C286" s="67"/>
      <c r="D286" s="67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>
      <c r="A287" s="65" t="s">
        <v>753</v>
      </c>
      <c r="B287" s="67"/>
      <c r="C287" s="67"/>
      <c r="D287" s="67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>
      <c r="A288" s="65" t="s">
        <v>754</v>
      </c>
      <c r="B288" s="67"/>
      <c r="C288" s="67"/>
      <c r="D288" s="67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>
      <c r="A289" s="65" t="s">
        <v>755</v>
      </c>
      <c r="B289" s="67"/>
      <c r="C289" s="67"/>
      <c r="D289" s="67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>
      <c r="A290" s="65" t="s">
        <v>756</v>
      </c>
      <c r="B290" s="67"/>
      <c r="C290" s="67"/>
      <c r="D290" s="67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>
      <c r="A291" s="65" t="s">
        <v>757</v>
      </c>
      <c r="B291" s="67"/>
      <c r="C291" s="67"/>
      <c r="D291" s="67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>
      <c r="A292" s="65" t="s">
        <v>758</v>
      </c>
      <c r="B292" s="67"/>
      <c r="C292" s="67"/>
      <c r="D292" s="67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>
      <c r="A293" s="65" t="s">
        <v>759</v>
      </c>
      <c r="B293" s="67"/>
      <c r="C293" s="67"/>
      <c r="D293" s="67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>
      <c r="A294" s="65" t="s">
        <v>760</v>
      </c>
      <c r="B294" s="67"/>
      <c r="C294" s="67"/>
      <c r="D294" s="67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>
      <c r="A295" s="65" t="s">
        <v>761</v>
      </c>
      <c r="B295" s="67"/>
      <c r="C295" s="67"/>
      <c r="D295" s="67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>
      <c r="A296" s="65" t="s">
        <v>762</v>
      </c>
      <c r="B296" s="67"/>
      <c r="C296" s="67"/>
      <c r="D296" s="67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>
      <c r="A297" s="65" t="s">
        <v>763</v>
      </c>
      <c r="B297" s="67"/>
      <c r="C297" s="67"/>
      <c r="D297" s="67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>
      <c r="A298" s="65" t="s">
        <v>764</v>
      </c>
      <c r="B298" s="67"/>
      <c r="C298" s="67"/>
      <c r="D298" s="67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>
      <c r="A299" s="65" t="s">
        <v>765</v>
      </c>
      <c r="B299" s="67"/>
      <c r="C299" s="67"/>
      <c r="D299" s="67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>
      <c r="A300" s="65" t="s">
        <v>766</v>
      </c>
      <c r="B300" s="67"/>
      <c r="C300" s="67"/>
      <c r="D300" s="66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>
      <c r="A301" s="65" t="s">
        <v>767</v>
      </c>
      <c r="B301" s="67"/>
      <c r="C301" s="67"/>
      <c r="D301" s="67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>
      <c r="A302" s="65" t="s">
        <v>768</v>
      </c>
      <c r="B302" s="67"/>
      <c r="C302" s="67"/>
      <c r="D302" s="67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>
      <c r="A303" s="65" t="s">
        <v>769</v>
      </c>
      <c r="B303" s="67"/>
      <c r="C303" s="67"/>
      <c r="D303" s="67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>
      <c r="A304" s="65" t="s">
        <v>770</v>
      </c>
      <c r="B304" s="67"/>
      <c r="C304" s="67"/>
      <c r="D304" s="67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>
      <c r="A305" s="65" t="s">
        <v>771</v>
      </c>
      <c r="B305" s="67"/>
      <c r="C305" s="67"/>
      <c r="D305" s="67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>
      <c r="A306" s="65" t="s">
        <v>772</v>
      </c>
      <c r="B306" s="67"/>
      <c r="C306" s="67"/>
      <c r="D306" s="67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>
      <c r="A307" s="65" t="s">
        <v>773</v>
      </c>
      <c r="B307" s="67"/>
      <c r="C307" s="67"/>
      <c r="D307" s="67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>
      <c r="A308" s="65" t="s">
        <v>774</v>
      </c>
      <c r="B308" s="67"/>
      <c r="C308" s="67"/>
      <c r="D308" s="67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>
      <c r="A309" s="65" t="s">
        <v>775</v>
      </c>
      <c r="B309" s="67"/>
      <c r="C309" s="67"/>
      <c r="D309" s="67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>
      <c r="A310" s="65" t="s">
        <v>776</v>
      </c>
      <c r="B310" s="67"/>
      <c r="C310" s="67"/>
      <c r="D310" s="67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>
      <c r="A311" s="65" t="s">
        <v>777</v>
      </c>
      <c r="B311" s="67"/>
      <c r="C311" s="67"/>
      <c r="D311" s="67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>
      <c r="A312" s="65" t="s">
        <v>778</v>
      </c>
      <c r="B312" s="67"/>
      <c r="C312" s="67"/>
      <c r="D312" s="67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>
      <c r="A313" s="65" t="s">
        <v>779</v>
      </c>
      <c r="B313" s="67"/>
      <c r="C313" s="67"/>
      <c r="D313" s="67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>
      <c r="A314" s="65" t="s">
        <v>780</v>
      </c>
      <c r="B314" s="67"/>
      <c r="C314" s="67"/>
      <c r="D314" s="67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>
      <c r="A315" s="65" t="s">
        <v>34</v>
      </c>
      <c r="B315" s="67"/>
      <c r="C315" s="67"/>
      <c r="D315" s="67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>
      <c r="A316" s="65" t="s">
        <v>781</v>
      </c>
      <c r="B316" s="67"/>
      <c r="C316" s="67"/>
      <c r="D316" s="67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>
      <c r="A317" s="65" t="s">
        <v>782</v>
      </c>
      <c r="B317" s="67"/>
      <c r="C317" s="67"/>
      <c r="D317" s="67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>
      <c r="A318" s="65" t="s">
        <v>783</v>
      </c>
      <c r="B318" s="67"/>
      <c r="C318" s="67"/>
      <c r="D318" s="67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>
      <c r="A319" s="65" t="s">
        <v>784</v>
      </c>
      <c r="B319" s="67"/>
      <c r="C319" s="67"/>
      <c r="D319" s="67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>
      <c r="A320" s="65" t="s">
        <v>785</v>
      </c>
      <c r="B320" s="67"/>
      <c r="C320" s="67"/>
      <c r="D320" s="67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>
      <c r="A321" s="65" t="s">
        <v>786</v>
      </c>
      <c r="B321" s="67"/>
      <c r="C321" s="67"/>
      <c r="D321" s="67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>
      <c r="A322" s="65" t="s">
        <v>787</v>
      </c>
      <c r="B322" s="67"/>
      <c r="C322" s="67"/>
      <c r="D322" s="67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>
      <c r="A323" s="65" t="s">
        <v>788</v>
      </c>
      <c r="B323" s="67"/>
      <c r="C323" s="67"/>
      <c r="D323" s="67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>
      <c r="A324" s="65" t="s">
        <v>789</v>
      </c>
      <c r="B324" s="67"/>
      <c r="C324" s="67"/>
      <c r="D324" s="67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>
      <c r="A325" s="65" t="s">
        <v>790</v>
      </c>
      <c r="B325" s="67"/>
      <c r="C325" s="67"/>
      <c r="D325" s="67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>
      <c r="A326" s="65" t="s">
        <v>66</v>
      </c>
      <c r="B326" s="67"/>
      <c r="C326" s="67"/>
      <c r="D326" s="67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>
      <c r="A327" s="65" t="s">
        <v>791</v>
      </c>
      <c r="B327" s="67"/>
      <c r="C327" s="67"/>
      <c r="D327" s="67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>
      <c r="A328" s="65" t="s">
        <v>111</v>
      </c>
      <c r="B328" s="67"/>
      <c r="C328" s="67"/>
      <c r="D328" s="67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>
      <c r="A329" s="65" t="s">
        <v>792</v>
      </c>
      <c r="B329" s="67"/>
      <c r="C329" s="67"/>
      <c r="D329" s="67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>
      <c r="A330" s="65" t="s">
        <v>793</v>
      </c>
      <c r="B330" s="67"/>
      <c r="C330" s="67"/>
      <c r="D330" s="67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>
      <c r="A331" s="65" t="s">
        <v>794</v>
      </c>
      <c r="B331" s="67"/>
      <c r="C331" s="67"/>
      <c r="D331" s="67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>
      <c r="A332" s="65" t="s">
        <v>795</v>
      </c>
      <c r="B332" s="67"/>
      <c r="C332" s="67"/>
      <c r="D332" s="67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>
      <c r="A333" s="65" t="s">
        <v>796</v>
      </c>
      <c r="B333" s="67"/>
      <c r="C333" s="67"/>
      <c r="D333" s="67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>
      <c r="A334" s="65"/>
      <c r="B334" s="67"/>
      <c r="C334" s="67"/>
      <c r="D334" s="67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>
      <c r="A335" s="65"/>
      <c r="B335" s="67"/>
      <c r="C335" s="67"/>
      <c r="D335" s="67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>
      <c r="A336" s="65"/>
      <c r="B336" s="67"/>
      <c r="C336" s="67"/>
      <c r="D336" s="67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>
      <c r="A337" s="65"/>
      <c r="B337" s="67"/>
      <c r="C337" s="67"/>
      <c r="D337" s="67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>
      <c r="A338" s="65"/>
      <c r="B338" s="67"/>
      <c r="C338" s="67"/>
      <c r="D338" s="67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>
      <c r="A339" s="65"/>
      <c r="B339" s="67"/>
      <c r="C339" s="67"/>
      <c r="D339" s="67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>
      <c r="A340" s="65"/>
      <c r="B340" s="67"/>
      <c r="C340" s="67"/>
      <c r="D340" s="67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>
      <c r="A341" s="65"/>
      <c r="B341" s="67"/>
      <c r="C341" s="67"/>
      <c r="D341" s="67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>
      <c r="A342" s="65"/>
      <c r="B342" s="67"/>
      <c r="C342" s="67"/>
      <c r="D342" s="67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>
      <c r="A343" s="65"/>
      <c r="B343" s="67"/>
      <c r="C343" s="67"/>
      <c r="D343" s="67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>
      <c r="A344" s="65"/>
      <c r="B344" s="67"/>
      <c r="C344" s="67"/>
      <c r="D344" s="67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>
      <c r="A345" s="65"/>
      <c r="B345" s="67"/>
      <c r="C345" s="67"/>
      <c r="D345" s="67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>
      <c r="A346" s="65"/>
      <c r="B346" s="67"/>
      <c r="C346" s="67"/>
      <c r="D346" s="67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>
      <c r="A347" s="65"/>
      <c r="B347" s="67"/>
      <c r="C347" s="67"/>
      <c r="D347" s="67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>
      <c r="A348" s="65"/>
      <c r="B348" s="67"/>
      <c r="C348" s="67"/>
      <c r="D348" s="67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>
      <c r="A349" s="65"/>
      <c r="B349" s="67"/>
      <c r="C349" s="67"/>
      <c r="D349" s="67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>
      <c r="A350" s="65"/>
      <c r="B350" s="67"/>
      <c r="C350" s="67"/>
      <c r="D350" s="67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>
      <c r="A351" s="65"/>
      <c r="B351" s="67"/>
      <c r="C351" s="67"/>
      <c r="D351" s="67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>
      <c r="A352" s="65"/>
      <c r="B352" s="67"/>
      <c r="C352" s="67"/>
      <c r="D352" s="67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>
      <c r="A353" s="65"/>
      <c r="B353" s="67"/>
      <c r="C353" s="67"/>
      <c r="D353" s="67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>
      <c r="A354" s="65"/>
      <c r="B354" s="67"/>
      <c r="C354" s="67"/>
      <c r="D354" s="67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>
      <c r="A355" s="65"/>
      <c r="B355" s="67"/>
      <c r="C355" s="67"/>
      <c r="D355" s="67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>
      <c r="A356" s="65"/>
      <c r="B356" s="67"/>
      <c r="C356" s="67"/>
      <c r="D356" s="67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>
      <c r="A357" s="65"/>
      <c r="B357" s="67"/>
      <c r="C357" s="67"/>
      <c r="D357" s="67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>
      <c r="A358" s="65"/>
      <c r="B358" s="67"/>
      <c r="C358" s="67"/>
      <c r="D358" s="67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>
      <c r="A359" s="65"/>
      <c r="B359" s="67"/>
      <c r="C359" s="67"/>
      <c r="D359" s="67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>
      <c r="A360" s="65"/>
      <c r="B360" s="67"/>
      <c r="C360" s="67"/>
      <c r="D360" s="67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>
      <c r="A361" s="65"/>
      <c r="B361" s="67"/>
      <c r="C361" s="67"/>
      <c r="D361" s="67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>
      <c r="A362" s="65"/>
      <c r="B362" s="67"/>
      <c r="C362" s="67"/>
      <c r="D362" s="67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>
      <c r="A363" s="65"/>
      <c r="B363" s="67"/>
      <c r="C363" s="67"/>
      <c r="D363" s="67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>
      <c r="A364" s="65"/>
      <c r="B364" s="67"/>
      <c r="C364" s="67"/>
      <c r="D364" s="67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>
      <c r="A365" s="65"/>
      <c r="B365" s="67"/>
      <c r="C365" s="67"/>
      <c r="D365" s="67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>
      <c r="A366" s="65"/>
      <c r="B366" s="67"/>
      <c r="C366" s="67"/>
      <c r="D366" s="67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>
      <c r="A367" s="65"/>
      <c r="B367" s="67"/>
      <c r="C367" s="67"/>
      <c r="D367" s="67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>
      <c r="A368" s="65"/>
      <c r="B368" s="67"/>
      <c r="C368" s="67"/>
      <c r="D368" s="67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>
      <c r="A369" s="65"/>
      <c r="B369" s="67"/>
      <c r="C369" s="67"/>
      <c r="D369" s="67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>
      <c r="A370" s="65"/>
      <c r="B370" s="67"/>
      <c r="C370" s="67"/>
      <c r="D370" s="67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>
      <c r="A371" s="65"/>
      <c r="B371" s="67"/>
      <c r="C371" s="67"/>
      <c r="D371" s="67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>
      <c r="A372" s="65"/>
      <c r="B372" s="67"/>
      <c r="C372" s="67"/>
      <c r="D372" s="67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>
      <c r="A373" s="65"/>
      <c r="B373" s="67"/>
      <c r="C373" s="67"/>
      <c r="D373" s="67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>
      <c r="A374" s="65"/>
      <c r="B374" s="67"/>
      <c r="C374" s="67"/>
      <c r="D374" s="67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>
      <c r="A375" s="65"/>
      <c r="B375" s="67"/>
      <c r="C375" s="67"/>
      <c r="D375" s="67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>
      <c r="A376" s="65"/>
      <c r="B376" s="67"/>
      <c r="C376" s="67"/>
      <c r="D376" s="67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>
      <c r="A377" s="65"/>
      <c r="B377" s="67"/>
      <c r="C377" s="67"/>
      <c r="D377" s="67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>
      <c r="A378" s="65"/>
      <c r="B378" s="67"/>
      <c r="C378" s="67"/>
      <c r="D378" s="67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>
      <c r="A379" s="65"/>
      <c r="B379" s="67"/>
      <c r="C379" s="67"/>
      <c r="D379" s="67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>
      <c r="A380" s="65"/>
      <c r="B380" s="67"/>
      <c r="C380" s="67"/>
      <c r="D380" s="67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>
      <c r="A381" s="65"/>
      <c r="B381" s="67"/>
      <c r="C381" s="67"/>
      <c r="D381" s="67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>
      <c r="A382" s="65"/>
      <c r="B382" s="67"/>
      <c r="C382" s="67"/>
      <c r="D382" s="67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>
      <c r="A383" s="65"/>
      <c r="B383" s="67"/>
      <c r="C383" s="67"/>
      <c r="D383" s="67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>
      <c r="A384" s="65"/>
      <c r="B384" s="67"/>
      <c r="C384" s="67"/>
      <c r="D384" s="67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>
      <c r="A385" s="65"/>
      <c r="B385" s="67"/>
      <c r="C385" s="67"/>
      <c r="D385" s="67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>
      <c r="A386" s="65"/>
      <c r="B386" s="67"/>
      <c r="C386" s="67"/>
      <c r="D386" s="67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>
      <c r="A387" s="65"/>
      <c r="B387" s="67"/>
      <c r="C387" s="67"/>
      <c r="D387" s="67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>
      <c r="A388" s="65"/>
      <c r="B388" s="67"/>
      <c r="C388" s="67"/>
      <c r="D388" s="67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>
      <c r="A389" s="65"/>
      <c r="B389" s="67"/>
      <c r="C389" s="67"/>
      <c r="D389" s="67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>
      <c r="A390" s="65"/>
      <c r="B390" s="67"/>
      <c r="C390" s="67"/>
      <c r="D390" s="67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>
      <c r="A391" s="65"/>
      <c r="B391" s="67"/>
      <c r="C391" s="67"/>
      <c r="D391" s="67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>
      <c r="A392" s="65"/>
      <c r="B392" s="67"/>
      <c r="C392" s="67"/>
      <c r="D392" s="67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>
      <c r="A393" s="65"/>
      <c r="B393" s="67"/>
      <c r="C393" s="67"/>
      <c r="D393" s="67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>
      <c r="A394" s="65"/>
      <c r="B394" s="67"/>
      <c r="C394" s="67"/>
      <c r="D394" s="67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>
      <c r="A395" s="65"/>
      <c r="B395" s="67"/>
      <c r="C395" s="67"/>
      <c r="D395" s="67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>
      <c r="A396" s="65"/>
      <c r="B396" s="67"/>
      <c r="C396" s="67"/>
      <c r="D396" s="67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>
      <c r="A397" s="65"/>
      <c r="B397" s="67"/>
      <c r="C397" s="67"/>
      <c r="D397" s="67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>
      <c r="A398" s="65"/>
      <c r="B398" s="67"/>
      <c r="C398" s="67"/>
      <c r="D398" s="67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>
      <c r="A399" s="65"/>
      <c r="B399" s="67"/>
      <c r="C399" s="67"/>
      <c r="D399" s="67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>
      <c r="A400" s="65"/>
      <c r="B400" s="67"/>
      <c r="C400" s="67"/>
      <c r="D400" s="67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>
      <c r="A401" s="65"/>
      <c r="B401" s="67"/>
      <c r="C401" s="67"/>
      <c r="D401" s="67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>
      <c r="A402" s="65"/>
      <c r="B402" s="67"/>
      <c r="C402" s="67"/>
      <c r="D402" s="67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>
      <c r="A403" s="65"/>
      <c r="B403" s="67"/>
      <c r="C403" s="67"/>
      <c r="D403" s="67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>
      <c r="A404" s="65"/>
      <c r="B404" s="67"/>
      <c r="C404" s="67"/>
      <c r="D404" s="67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>
      <c r="A405" s="65"/>
      <c r="B405" s="67"/>
      <c r="C405" s="67"/>
      <c r="D405" s="67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>
      <c r="A406" s="65"/>
      <c r="B406" s="67"/>
      <c r="C406" s="67"/>
      <c r="D406" s="67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>
      <c r="A407" s="65"/>
      <c r="B407" s="67"/>
      <c r="C407" s="67"/>
      <c r="D407" s="67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>
      <c r="A408" s="65"/>
      <c r="B408" s="67"/>
      <c r="C408" s="67"/>
      <c r="D408" s="67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>
      <c r="A409" s="65"/>
      <c r="B409" s="67"/>
      <c r="C409" s="67"/>
      <c r="D409" s="67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>
      <c r="A410" s="65"/>
      <c r="B410" s="67"/>
      <c r="C410" s="67"/>
      <c r="D410" s="67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>
      <c r="A411" s="65"/>
      <c r="B411" s="67"/>
      <c r="C411" s="67"/>
      <c r="D411" s="67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>
      <c r="A412" s="65"/>
      <c r="B412" s="67"/>
      <c r="C412" s="67"/>
      <c r="D412" s="67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>
      <c r="A413" s="65"/>
      <c r="B413" s="67"/>
      <c r="C413" s="67"/>
      <c r="D413" s="67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>
      <c r="A414" s="65"/>
      <c r="B414" s="67"/>
      <c r="C414" s="67"/>
      <c r="D414" s="67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>
      <c r="A415" s="65"/>
      <c r="B415" s="67"/>
      <c r="C415" s="67"/>
      <c r="D415" s="67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>
      <c r="A416" s="65"/>
      <c r="B416" s="67"/>
      <c r="C416" s="67"/>
      <c r="D416" s="67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>
      <c r="A417" s="65"/>
      <c r="B417" s="67"/>
      <c r="C417" s="67"/>
      <c r="D417" s="67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>
      <c r="A418" s="65"/>
      <c r="B418" s="67"/>
      <c r="C418" s="67"/>
      <c r="D418" s="67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>
      <c r="A419" s="65"/>
      <c r="B419" s="67"/>
      <c r="C419" s="67"/>
      <c r="D419" s="67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>
      <c r="A420" s="65"/>
      <c r="B420" s="67"/>
      <c r="C420" s="67"/>
      <c r="D420" s="67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>
      <c r="A421" s="65"/>
      <c r="B421" s="67"/>
      <c r="C421" s="67"/>
      <c r="D421" s="67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>
      <c r="A422" s="65"/>
      <c r="B422" s="67"/>
      <c r="C422" s="67"/>
      <c r="D422" s="67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>
      <c r="A423" s="65"/>
      <c r="B423" s="67"/>
      <c r="C423" s="67"/>
      <c r="D423" s="67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>
      <c r="A424" s="65"/>
      <c r="B424" s="67"/>
      <c r="C424" s="67"/>
      <c r="D424" s="67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>
      <c r="A425" s="65"/>
      <c r="B425" s="67"/>
      <c r="C425" s="67"/>
      <c r="D425" s="67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>
      <c r="A426" s="65"/>
      <c r="B426" s="67"/>
      <c r="C426" s="67"/>
      <c r="D426" s="67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>
      <c r="A427" s="65"/>
      <c r="B427" s="67"/>
      <c r="C427" s="67"/>
      <c r="D427" s="67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>
      <c r="A428" s="65"/>
      <c r="B428" s="67"/>
      <c r="C428" s="67"/>
      <c r="D428" s="67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>
      <c r="A429" s="65"/>
      <c r="B429" s="67"/>
      <c r="C429" s="67"/>
      <c r="D429" s="67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>
      <c r="A430" s="65"/>
      <c r="B430" s="67"/>
      <c r="C430" s="67"/>
      <c r="D430" s="67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>
      <c r="A431" s="65"/>
      <c r="B431" s="67"/>
      <c r="C431" s="67"/>
      <c r="D431" s="67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>
      <c r="A432" s="65"/>
      <c r="B432" s="67"/>
      <c r="C432" s="67"/>
      <c r="D432" s="67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>
      <c r="A433" s="65"/>
      <c r="B433" s="67"/>
      <c r="C433" s="67"/>
      <c r="D433" s="67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>
      <c r="A434" s="65"/>
      <c r="B434" s="67"/>
      <c r="C434" s="67"/>
      <c r="D434" s="67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>
      <c r="A435" s="65"/>
      <c r="B435" s="67"/>
      <c r="C435" s="67"/>
      <c r="D435" s="67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>
      <c r="A436" s="65"/>
      <c r="B436" s="67"/>
      <c r="C436" s="67"/>
      <c r="D436" s="67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>
      <c r="A437" s="65"/>
      <c r="B437" s="67"/>
      <c r="C437" s="67"/>
      <c r="D437" s="67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>
      <c r="A438" s="65"/>
      <c r="B438" s="67"/>
      <c r="C438" s="67"/>
      <c r="D438" s="67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>
      <c r="A439" s="65"/>
      <c r="B439" s="67"/>
      <c r="C439" s="67"/>
      <c r="D439" s="67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>
      <c r="A440" s="65"/>
      <c r="B440" s="67"/>
      <c r="C440" s="67"/>
      <c r="D440" s="67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>
      <c r="A441" s="65"/>
      <c r="B441" s="67"/>
      <c r="C441" s="67"/>
      <c r="D441" s="67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>
      <c r="A442" s="65"/>
      <c r="B442" s="67"/>
      <c r="C442" s="67"/>
      <c r="D442" s="67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>
      <c r="A443" s="65"/>
      <c r="B443" s="67"/>
      <c r="C443" s="67"/>
      <c r="D443" s="67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>
      <c r="A444" s="65"/>
      <c r="B444" s="67"/>
      <c r="C444" s="67"/>
      <c r="D444" s="67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>
      <c r="A445" s="65"/>
      <c r="B445" s="67"/>
      <c r="C445" s="67"/>
      <c r="D445" s="67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>
      <c r="A446" s="65"/>
      <c r="B446" s="67"/>
      <c r="C446" s="67"/>
      <c r="D446" s="67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>
      <c r="A447" s="65"/>
      <c r="B447" s="67"/>
      <c r="C447" s="67"/>
      <c r="D447" s="67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>
      <c r="A448" s="65"/>
      <c r="B448" s="67"/>
      <c r="C448" s="67"/>
      <c r="D448" s="67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>
      <c r="A449" s="65"/>
      <c r="B449" s="67"/>
      <c r="C449" s="67"/>
      <c r="D449" s="67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>
      <c r="A450" s="65"/>
      <c r="B450" s="67"/>
      <c r="C450" s="67"/>
      <c r="D450" s="67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>
      <c r="A451" s="65"/>
      <c r="B451" s="67"/>
      <c r="C451" s="67"/>
      <c r="D451" s="67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>
      <c r="A452" s="65"/>
      <c r="B452" s="67"/>
      <c r="C452" s="67"/>
      <c r="D452" s="67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>
      <c r="A453" s="65"/>
      <c r="B453" s="67"/>
      <c r="C453" s="67"/>
      <c r="D453" s="67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>
      <c r="A454" s="65"/>
      <c r="B454" s="67"/>
      <c r="C454" s="67"/>
      <c r="D454" s="67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>
      <c r="A455" s="65"/>
      <c r="B455" s="67"/>
      <c r="C455" s="67"/>
      <c r="D455" s="67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>
      <c r="A456" s="65"/>
      <c r="B456" s="67"/>
      <c r="C456" s="67"/>
      <c r="D456" s="67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>
      <c r="A457" s="65"/>
      <c r="B457" s="67"/>
      <c r="C457" s="67"/>
      <c r="D457" s="67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>
      <c r="A458" s="65"/>
      <c r="B458" s="67"/>
      <c r="C458" s="67"/>
      <c r="D458" s="67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>
      <c r="A459" s="65"/>
      <c r="B459" s="67"/>
      <c r="C459" s="67"/>
      <c r="D459" s="67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>
      <c r="A460" s="65"/>
      <c r="B460" s="67"/>
      <c r="C460" s="67"/>
      <c r="D460" s="67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>
      <c r="A461" s="65"/>
      <c r="B461" s="67"/>
      <c r="C461" s="67"/>
      <c r="D461" s="67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>
      <c r="A462" s="65"/>
      <c r="B462" s="67"/>
      <c r="C462" s="67"/>
      <c r="D462" s="67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>
      <c r="A463" s="65"/>
      <c r="B463" s="67"/>
      <c r="C463" s="67"/>
      <c r="D463" s="67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>
      <c r="A464" s="65"/>
      <c r="B464" s="67"/>
      <c r="C464" s="67"/>
      <c r="D464" s="67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>
      <c r="A465" s="65"/>
      <c r="B465" s="67"/>
      <c r="C465" s="67"/>
      <c r="D465" s="67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>
      <c r="A466" s="65"/>
      <c r="B466" s="67"/>
      <c r="C466" s="67"/>
      <c r="D466" s="67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>
      <c r="A467" s="65"/>
      <c r="B467" s="67"/>
      <c r="C467" s="67"/>
      <c r="D467" s="67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>
      <c r="A468" s="65"/>
      <c r="B468" s="67"/>
      <c r="C468" s="67"/>
      <c r="D468" s="67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>
      <c r="A469" s="65"/>
      <c r="B469" s="67"/>
      <c r="C469" s="67"/>
      <c r="D469" s="67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>
      <c r="A470" s="65"/>
      <c r="B470" s="67"/>
      <c r="C470" s="67"/>
      <c r="D470" s="67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>
      <c r="A471" s="65"/>
      <c r="B471" s="67"/>
      <c r="C471" s="67"/>
      <c r="D471" s="67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>
      <c r="A472" s="65"/>
      <c r="B472" s="67"/>
      <c r="C472" s="67"/>
      <c r="D472" s="67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>
      <c r="A473" s="65"/>
      <c r="B473" s="67"/>
      <c r="C473" s="67"/>
      <c r="D473" s="67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>
      <c r="A474" s="65"/>
      <c r="B474" s="67"/>
      <c r="C474" s="67"/>
      <c r="D474" s="67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>
      <c r="A475" s="65"/>
      <c r="B475" s="67"/>
      <c r="C475" s="67"/>
      <c r="D475" s="67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>
      <c r="A476" s="65"/>
      <c r="B476" s="67"/>
      <c r="C476" s="67"/>
      <c r="D476" s="67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>
      <c r="A477" s="65"/>
      <c r="B477" s="67"/>
      <c r="C477" s="67"/>
      <c r="D477" s="67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>
      <c r="A478" s="65"/>
      <c r="B478" s="67"/>
      <c r="C478" s="67"/>
      <c r="D478" s="67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>
      <c r="A479" s="65"/>
      <c r="B479" s="67"/>
      <c r="C479" s="67"/>
      <c r="D479" s="67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>
      <c r="A480" s="65"/>
      <c r="B480" s="67"/>
      <c r="C480" s="67"/>
      <c r="D480" s="67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>
      <c r="A481" s="65"/>
      <c r="B481" s="67"/>
      <c r="C481" s="67"/>
      <c r="D481" s="67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>
      <c r="A482" s="65"/>
      <c r="B482" s="67"/>
      <c r="C482" s="67"/>
      <c r="D482" s="67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>
      <c r="A483" s="65"/>
      <c r="B483" s="67"/>
      <c r="C483" s="67"/>
      <c r="D483" s="67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>
      <c r="A484" s="65"/>
      <c r="B484" s="67"/>
      <c r="C484" s="67"/>
      <c r="D484" s="67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>
      <c r="A485" s="65"/>
      <c r="B485" s="67"/>
      <c r="C485" s="67"/>
      <c r="D485" s="67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>
      <c r="A486" s="65"/>
      <c r="B486" s="67"/>
      <c r="C486" s="67"/>
      <c r="D486" s="67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>
      <c r="A487" s="65"/>
      <c r="B487" s="67"/>
      <c r="C487" s="67"/>
      <c r="D487" s="67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>
      <c r="A488" s="65"/>
      <c r="B488" s="67"/>
      <c r="C488" s="67"/>
      <c r="D488" s="67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>
      <c r="A489" s="65"/>
      <c r="B489" s="67"/>
      <c r="C489" s="67"/>
      <c r="D489" s="67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>
      <c r="A490" s="65"/>
      <c r="B490" s="67"/>
      <c r="C490" s="67"/>
      <c r="D490" s="67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>
      <c r="A491" s="65"/>
      <c r="B491" s="67"/>
      <c r="C491" s="67"/>
      <c r="D491" s="67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>
      <c r="A492" s="65"/>
      <c r="B492" s="67"/>
      <c r="C492" s="67"/>
      <c r="D492" s="67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>
      <c r="A493" s="65"/>
      <c r="B493" s="67"/>
      <c r="C493" s="67"/>
      <c r="D493" s="67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>
      <c r="A494" s="65"/>
      <c r="B494" s="67"/>
      <c r="C494" s="67"/>
      <c r="D494" s="67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>
      <c r="A495" s="65"/>
      <c r="B495" s="67"/>
      <c r="C495" s="67"/>
      <c r="D495" s="67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>
      <c r="A496" s="65"/>
      <c r="B496" s="67"/>
      <c r="C496" s="67"/>
      <c r="D496" s="67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>
      <c r="A497" s="65"/>
      <c r="B497" s="67"/>
      <c r="C497" s="67"/>
      <c r="D497" s="67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>
      <c r="A498" s="65"/>
      <c r="B498" s="67"/>
      <c r="C498" s="67"/>
      <c r="D498" s="67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>
      <c r="A499" s="65"/>
      <c r="B499" s="67"/>
      <c r="C499" s="67"/>
      <c r="D499" s="67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>
      <c r="A500" s="65"/>
      <c r="B500" s="67"/>
      <c r="C500" s="67"/>
      <c r="D500" s="67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>
      <c r="A501" s="65"/>
      <c r="B501" s="67"/>
      <c r="C501" s="67"/>
      <c r="D501" s="67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>
      <c r="A502" s="65"/>
      <c r="B502" s="67"/>
      <c r="C502" s="67"/>
      <c r="D502" s="67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>
      <c r="A503" s="65"/>
      <c r="B503" s="67"/>
      <c r="C503" s="67"/>
      <c r="D503" s="67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>
      <c r="A504" s="65"/>
      <c r="B504" s="67"/>
      <c r="C504" s="67"/>
      <c r="D504" s="67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>
      <c r="A505" s="65"/>
      <c r="B505" s="67"/>
      <c r="C505" s="67"/>
      <c r="D505" s="67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>
      <c r="A506" s="65"/>
      <c r="B506" s="67"/>
      <c r="C506" s="67"/>
      <c r="D506" s="67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>
      <c r="A507" s="65"/>
      <c r="B507" s="67"/>
      <c r="C507" s="67"/>
      <c r="D507" s="67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>
      <c r="A508" s="65"/>
      <c r="B508" s="67"/>
      <c r="C508" s="67"/>
      <c r="D508" s="67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>
      <c r="A509" s="65"/>
      <c r="B509" s="67"/>
      <c r="C509" s="67"/>
      <c r="D509" s="67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>
      <c r="A510" s="65"/>
      <c r="B510" s="67"/>
      <c r="C510" s="67"/>
      <c r="D510" s="67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>
      <c r="A511" s="65"/>
      <c r="B511" s="67"/>
      <c r="C511" s="67"/>
      <c r="D511" s="67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>
      <c r="A512" s="65"/>
      <c r="B512" s="67"/>
      <c r="C512" s="67"/>
      <c r="D512" s="67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>
      <c r="A513" s="65"/>
      <c r="B513" s="67"/>
      <c r="C513" s="67"/>
      <c r="D513" s="67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>
      <c r="A514" s="65"/>
      <c r="B514" s="67"/>
      <c r="C514" s="67"/>
      <c r="D514" s="67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>
      <c r="A515" s="65"/>
      <c r="B515" s="67"/>
      <c r="C515" s="67"/>
      <c r="D515" s="67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>
      <c r="A516" s="65"/>
      <c r="B516" s="67"/>
      <c r="C516" s="67"/>
      <c r="D516" s="67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>
      <c r="A517" s="65"/>
      <c r="B517" s="67"/>
      <c r="C517" s="67"/>
      <c r="D517" s="67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>
      <c r="A518" s="65"/>
      <c r="B518" s="67"/>
      <c r="C518" s="67"/>
      <c r="D518" s="67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>
      <c r="A519" s="65"/>
      <c r="B519" s="67"/>
      <c r="C519" s="67"/>
      <c r="D519" s="67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>
      <c r="A520" s="65"/>
      <c r="B520" s="67"/>
      <c r="C520" s="67"/>
      <c r="D520" s="67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>
      <c r="A521" s="65"/>
      <c r="B521" s="67"/>
      <c r="C521" s="67"/>
      <c r="D521" s="67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>
      <c r="A522" s="65"/>
      <c r="B522" s="67"/>
      <c r="C522" s="67"/>
      <c r="D522" s="67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>
      <c r="A523" s="65"/>
      <c r="B523" s="67"/>
      <c r="C523" s="67"/>
      <c r="D523" s="67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>
      <c r="A524" s="65"/>
      <c r="B524" s="67"/>
      <c r="C524" s="67"/>
      <c r="D524" s="67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>
      <c r="A525" s="65"/>
      <c r="B525" s="67"/>
      <c r="C525" s="67"/>
      <c r="D525" s="67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>
      <c r="A526" s="65"/>
      <c r="B526" s="67"/>
      <c r="C526" s="67"/>
      <c r="D526" s="67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>
      <c r="A527" s="65"/>
      <c r="B527" s="67"/>
      <c r="C527" s="67"/>
      <c r="D527" s="67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>
      <c r="A528" s="65"/>
      <c r="B528" s="67"/>
      <c r="C528" s="67"/>
      <c r="D528" s="67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>
      <c r="A529" s="65"/>
      <c r="B529" s="67"/>
      <c r="C529" s="67"/>
      <c r="D529" s="67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>
      <c r="A530" s="65"/>
      <c r="B530" s="67"/>
      <c r="C530" s="67"/>
      <c r="D530" s="67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>
      <c r="A531" s="65"/>
      <c r="B531" s="67"/>
      <c r="C531" s="67"/>
      <c r="D531" s="67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>
      <c r="A532" s="65"/>
      <c r="B532" s="67"/>
      <c r="C532" s="67"/>
      <c r="D532" s="67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>
      <c r="A533" s="65"/>
      <c r="B533" s="67"/>
      <c r="C533" s="67"/>
      <c r="D533" s="67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>
      <c r="A534" s="65"/>
      <c r="B534" s="67"/>
      <c r="C534" s="67"/>
      <c r="D534" s="67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>
      <c r="A535" s="65"/>
      <c r="B535" s="67"/>
      <c r="C535" s="67"/>
      <c r="D535" s="67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>
      <c r="A536" s="65"/>
      <c r="B536" s="67"/>
      <c r="C536" s="67"/>
      <c r="D536" s="67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>
      <c r="A537" s="65"/>
      <c r="B537" s="67"/>
      <c r="C537" s="67"/>
      <c r="D537" s="67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>
      <c r="A538" s="65"/>
      <c r="B538" s="67"/>
      <c r="C538" s="67"/>
      <c r="D538" s="67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>
      <c r="A539" s="65"/>
      <c r="B539" s="67"/>
      <c r="C539" s="67"/>
      <c r="D539" s="67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>
      <c r="A540" s="65"/>
      <c r="B540" s="67"/>
      <c r="C540" s="67"/>
      <c r="D540" s="67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>
      <c r="A541" s="65"/>
      <c r="B541" s="67"/>
      <c r="C541" s="67"/>
      <c r="D541" s="67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>
      <c r="A542" s="65"/>
      <c r="B542" s="67"/>
      <c r="C542" s="67"/>
      <c r="D542" s="67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>
      <c r="A543" s="65"/>
      <c r="B543" s="67"/>
      <c r="C543" s="67"/>
      <c r="D543" s="67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>
      <c r="A544" s="65"/>
      <c r="B544" s="67"/>
      <c r="C544" s="67"/>
      <c r="D544" s="67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>
      <c r="A545" s="65"/>
      <c r="B545" s="67"/>
      <c r="C545" s="67"/>
      <c r="D545" s="67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>
      <c r="A546" s="65"/>
      <c r="B546" s="67"/>
      <c r="C546" s="67"/>
      <c r="D546" s="67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>
      <c r="A547" s="65"/>
      <c r="B547" s="67"/>
      <c r="C547" s="67"/>
      <c r="D547" s="67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>
      <c r="A548" s="65"/>
      <c r="B548" s="67"/>
      <c r="C548" s="67"/>
      <c r="D548" s="67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>
      <c r="A549" s="65"/>
      <c r="B549" s="67"/>
      <c r="C549" s="67"/>
      <c r="D549" s="67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>
      <c r="A550" s="65"/>
      <c r="B550" s="67"/>
      <c r="C550" s="67"/>
      <c r="D550" s="67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>
      <c r="A551" s="65"/>
      <c r="B551" s="67"/>
      <c r="C551" s="67"/>
      <c r="D551" s="67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>
      <c r="A552" s="65"/>
      <c r="B552" s="67"/>
      <c r="C552" s="67"/>
      <c r="D552" s="67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>
      <c r="A553" s="65"/>
      <c r="B553" s="67"/>
      <c r="C553" s="67"/>
      <c r="D553" s="67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>
      <c r="A554" s="65"/>
      <c r="B554" s="67"/>
      <c r="C554" s="67"/>
      <c r="D554" s="67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>
      <c r="A555" s="65"/>
      <c r="B555" s="67"/>
      <c r="C555" s="67"/>
      <c r="D555" s="67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>
      <c r="A556" s="65"/>
      <c r="B556" s="67"/>
      <c r="C556" s="67"/>
      <c r="D556" s="67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>
      <c r="A557" s="65"/>
      <c r="B557" s="67"/>
      <c r="C557" s="67"/>
      <c r="D557" s="67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>
      <c r="A558" s="65"/>
      <c r="B558" s="67"/>
      <c r="C558" s="67"/>
      <c r="D558" s="67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>
      <c r="A559" s="65"/>
      <c r="B559" s="67"/>
      <c r="C559" s="67"/>
      <c r="D559" s="67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>
      <c r="A560" s="65"/>
      <c r="B560" s="67"/>
      <c r="C560" s="67"/>
      <c r="D560" s="67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>
      <c r="A561" s="65"/>
      <c r="B561" s="67"/>
      <c r="C561" s="67"/>
      <c r="D561" s="67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>
      <c r="A562" s="65"/>
      <c r="B562" s="67"/>
      <c r="C562" s="67"/>
      <c r="D562" s="67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>
      <c r="A563" s="65"/>
      <c r="B563" s="67"/>
      <c r="C563" s="67"/>
      <c r="D563" s="67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>
      <c r="A564" s="65"/>
      <c r="B564" s="67"/>
      <c r="C564" s="67"/>
      <c r="D564" s="67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>
      <c r="A565" s="65"/>
      <c r="B565" s="67"/>
      <c r="C565" s="67"/>
      <c r="D565" s="67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>
      <c r="A566" s="65"/>
      <c r="B566" s="67"/>
      <c r="C566" s="67"/>
      <c r="D566" s="67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>
      <c r="A567" s="65"/>
      <c r="B567" s="67"/>
      <c r="C567" s="67"/>
      <c r="D567" s="67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>
      <c r="A568" s="65"/>
      <c r="B568" s="67"/>
      <c r="C568" s="67"/>
      <c r="D568" s="67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>
      <c r="A569" s="65"/>
      <c r="B569" s="67"/>
      <c r="C569" s="67"/>
      <c r="D569" s="67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>
      <c r="A570" s="65"/>
      <c r="B570" s="67"/>
      <c r="C570" s="67"/>
      <c r="D570" s="67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>
      <c r="A571" s="65"/>
      <c r="B571" s="67"/>
      <c r="C571" s="67"/>
      <c r="D571" s="67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>
      <c r="A572" s="65"/>
      <c r="B572" s="67"/>
      <c r="C572" s="67"/>
      <c r="D572" s="67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>
      <c r="A573" s="65"/>
      <c r="B573" s="67"/>
      <c r="C573" s="67"/>
      <c r="D573" s="67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>
      <c r="A574" s="65"/>
      <c r="B574" s="67"/>
      <c r="C574" s="67"/>
      <c r="D574" s="67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>
      <c r="A575" s="65"/>
      <c r="B575" s="67"/>
      <c r="C575" s="67"/>
      <c r="D575" s="67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>
      <c r="A576" s="65"/>
      <c r="B576" s="67"/>
      <c r="C576" s="67"/>
      <c r="D576" s="67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>
      <c r="A577" s="65"/>
      <c r="B577" s="67"/>
      <c r="C577" s="67"/>
      <c r="D577" s="67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>
      <c r="A578" s="65"/>
      <c r="B578" s="67"/>
      <c r="C578" s="67"/>
      <c r="D578" s="67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>
      <c r="A579" s="65"/>
      <c r="B579" s="67"/>
      <c r="C579" s="67"/>
      <c r="D579" s="67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>
      <c r="A580" s="65"/>
      <c r="B580" s="67"/>
      <c r="C580" s="67"/>
      <c r="D580" s="67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>
      <c r="A581" s="65"/>
      <c r="B581" s="67"/>
      <c r="C581" s="67"/>
      <c r="D581" s="67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>
      <c r="A582" s="65"/>
      <c r="B582" s="67"/>
      <c r="C582" s="67"/>
      <c r="D582" s="67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>
      <c r="A583" s="65"/>
      <c r="B583" s="67"/>
      <c r="C583" s="67"/>
      <c r="D583" s="67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>
      <c r="A584" s="65"/>
      <c r="B584" s="67"/>
      <c r="C584" s="67"/>
      <c r="D584" s="67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>
      <c r="A585" s="65"/>
      <c r="B585" s="67"/>
      <c r="C585" s="67"/>
      <c r="D585" s="67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>
      <c r="A586" s="65"/>
      <c r="B586" s="67"/>
      <c r="C586" s="67"/>
      <c r="D586" s="67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>
      <c r="A587" s="65"/>
      <c r="B587" s="67"/>
      <c r="C587" s="67"/>
      <c r="D587" s="67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>
      <c r="A588" s="65"/>
      <c r="B588" s="67"/>
      <c r="C588" s="67"/>
      <c r="D588" s="67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>
      <c r="A589" s="65"/>
      <c r="B589" s="67"/>
      <c r="C589" s="67"/>
      <c r="D589" s="67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>
      <c r="A590" s="65"/>
      <c r="B590" s="67"/>
      <c r="C590" s="67"/>
      <c r="D590" s="67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>
      <c r="A591" s="65"/>
      <c r="B591" s="67"/>
      <c r="C591" s="67"/>
      <c r="D591" s="67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>
      <c r="A592" s="65"/>
      <c r="B592" s="67"/>
      <c r="C592" s="67"/>
      <c r="D592" s="67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>
      <c r="A593" s="65"/>
      <c r="B593" s="67"/>
      <c r="C593" s="67"/>
      <c r="D593" s="67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>
      <c r="A594" s="65"/>
      <c r="B594" s="67"/>
      <c r="C594" s="67"/>
      <c r="D594" s="67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>
      <c r="A595" s="65"/>
      <c r="B595" s="67"/>
      <c r="C595" s="67"/>
      <c r="D595" s="67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>
      <c r="A596" s="65"/>
      <c r="B596" s="67"/>
      <c r="C596" s="67"/>
      <c r="D596" s="67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>
      <c r="A597" s="65"/>
      <c r="B597" s="67"/>
      <c r="C597" s="67"/>
      <c r="D597" s="67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>
      <c r="A598" s="65"/>
      <c r="B598" s="67"/>
      <c r="C598" s="67"/>
      <c r="D598" s="67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>
      <c r="A599" s="65"/>
      <c r="B599" s="67"/>
      <c r="C599" s="67"/>
      <c r="D599" s="67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>
      <c r="A600" s="65"/>
      <c r="B600" s="67"/>
      <c r="C600" s="67"/>
      <c r="D600" s="67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>
      <c r="A601" s="65"/>
      <c r="B601" s="67"/>
      <c r="C601" s="67"/>
      <c r="D601" s="67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>
      <c r="A602" s="65"/>
      <c r="B602" s="67"/>
      <c r="C602" s="67"/>
      <c r="D602" s="67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>
      <c r="A603" s="65"/>
      <c r="B603" s="67"/>
      <c r="C603" s="67"/>
      <c r="D603" s="67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>
      <c r="A604" s="65"/>
      <c r="B604" s="67"/>
      <c r="C604" s="67"/>
      <c r="D604" s="67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>
      <c r="A605" s="65"/>
      <c r="B605" s="67"/>
      <c r="C605" s="67"/>
      <c r="D605" s="67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>
      <c r="A606" s="65"/>
      <c r="B606" s="67"/>
      <c r="C606" s="67"/>
      <c r="D606" s="67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>
      <c r="A607" s="65"/>
      <c r="B607" s="67"/>
      <c r="C607" s="67"/>
      <c r="D607" s="67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>
      <c r="A608" s="65"/>
      <c r="B608" s="67"/>
      <c r="C608" s="67"/>
      <c r="D608" s="67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>
      <c r="A609" s="65"/>
      <c r="B609" s="67"/>
      <c r="C609" s="67"/>
      <c r="D609" s="67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>
      <c r="A610" s="65"/>
      <c r="B610" s="67"/>
      <c r="C610" s="67"/>
      <c r="D610" s="67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>
      <c r="A611" s="65"/>
      <c r="B611" s="67"/>
      <c r="C611" s="67"/>
      <c r="D611" s="67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>
      <c r="A612" s="65"/>
      <c r="B612" s="67"/>
      <c r="C612" s="67"/>
      <c r="D612" s="67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>
      <c r="A613" s="65"/>
      <c r="B613" s="67"/>
      <c r="C613" s="67"/>
      <c r="D613" s="67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>
      <c r="A614" s="65"/>
      <c r="B614" s="67"/>
      <c r="C614" s="67"/>
      <c r="D614" s="67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>
      <c r="A615" s="65"/>
      <c r="B615" s="67"/>
      <c r="C615" s="67"/>
      <c r="D615" s="67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>
      <c r="A616" s="65"/>
      <c r="B616" s="67"/>
      <c r="C616" s="67"/>
      <c r="D616" s="67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>
      <c r="A617" s="65"/>
      <c r="B617" s="67"/>
      <c r="C617" s="67"/>
      <c r="D617" s="67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>
      <c r="A618" s="65"/>
      <c r="B618" s="67"/>
      <c r="C618" s="67"/>
      <c r="D618" s="67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>
      <c r="A619" s="65"/>
      <c r="B619" s="67"/>
      <c r="C619" s="67"/>
      <c r="D619" s="67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>
      <c r="A620" s="65"/>
      <c r="B620" s="67"/>
      <c r="C620" s="67"/>
      <c r="D620" s="67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>
      <c r="A621" s="65"/>
      <c r="B621" s="67"/>
      <c r="C621" s="67"/>
      <c r="D621" s="67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>
      <c r="A622" s="65"/>
      <c r="B622" s="67"/>
      <c r="C622" s="67"/>
      <c r="D622" s="67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>
      <c r="A623" s="65"/>
      <c r="B623" s="67"/>
      <c r="C623" s="67"/>
      <c r="D623" s="67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>
      <c r="A624" s="65"/>
      <c r="B624" s="67"/>
      <c r="C624" s="67"/>
      <c r="D624" s="67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>
      <c r="A625" s="65"/>
      <c r="B625" s="67"/>
      <c r="C625" s="67"/>
      <c r="D625" s="67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>
      <c r="A626" s="65"/>
      <c r="B626" s="67"/>
      <c r="C626" s="67"/>
      <c r="D626" s="67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>
      <c r="A627" s="65"/>
      <c r="B627" s="67"/>
      <c r="C627" s="67"/>
      <c r="D627" s="67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>
      <c r="A628" s="65"/>
      <c r="B628" s="67"/>
      <c r="C628" s="67"/>
      <c r="D628" s="67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>
      <c r="A629" s="65"/>
      <c r="B629" s="67"/>
      <c r="C629" s="67"/>
      <c r="D629" s="67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>
      <c r="A630" s="65"/>
      <c r="B630" s="67"/>
      <c r="C630" s="67"/>
      <c r="D630" s="67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>
      <c r="A631" s="65"/>
      <c r="B631" s="67"/>
      <c r="C631" s="67"/>
      <c r="D631" s="67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>
      <c r="A632" s="65"/>
      <c r="B632" s="67"/>
      <c r="C632" s="67"/>
      <c r="D632" s="67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>
      <c r="A633" s="65"/>
      <c r="B633" s="67"/>
      <c r="C633" s="67"/>
      <c r="D633" s="67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>
      <c r="A634" s="65"/>
      <c r="B634" s="67"/>
      <c r="C634" s="67"/>
      <c r="D634" s="67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>
      <c r="A635" s="65"/>
      <c r="B635" s="67"/>
      <c r="C635" s="67"/>
      <c r="D635" s="67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>
      <c r="A636" s="65"/>
      <c r="B636" s="67"/>
      <c r="C636" s="67"/>
      <c r="D636" s="67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>
      <c r="A637" s="65"/>
      <c r="B637" s="67"/>
      <c r="C637" s="67"/>
      <c r="D637" s="67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>
      <c r="A638" s="65"/>
      <c r="B638" s="67"/>
      <c r="C638" s="67"/>
      <c r="D638" s="67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>
      <c r="A639" s="65"/>
      <c r="B639" s="67"/>
      <c r="C639" s="67"/>
      <c r="D639" s="67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>
      <c r="A640" s="65"/>
      <c r="B640" s="67"/>
      <c r="C640" s="67"/>
      <c r="D640" s="67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>
      <c r="A641" s="65"/>
      <c r="B641" s="67"/>
      <c r="C641" s="67"/>
      <c r="D641" s="67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>
      <c r="A642" s="65"/>
      <c r="B642" s="67"/>
      <c r="C642" s="67"/>
      <c r="D642" s="67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>
      <c r="A643" s="65"/>
      <c r="B643" s="67"/>
      <c r="C643" s="67"/>
      <c r="D643" s="67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>
      <c r="A644" s="65"/>
      <c r="B644" s="67"/>
      <c r="C644" s="67"/>
      <c r="D644" s="67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>
      <c r="A645" s="65"/>
      <c r="B645" s="67"/>
      <c r="C645" s="67"/>
      <c r="D645" s="67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>
      <c r="A646" s="65"/>
      <c r="B646" s="67"/>
      <c r="C646" s="67"/>
      <c r="D646" s="67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>
      <c r="A647" s="65"/>
      <c r="B647" s="67"/>
      <c r="C647" s="67"/>
      <c r="D647" s="67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>
      <c r="A648" s="65"/>
      <c r="B648" s="67"/>
      <c r="C648" s="67"/>
      <c r="D648" s="67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>
      <c r="A649" s="65"/>
      <c r="B649" s="67"/>
      <c r="C649" s="67"/>
      <c r="D649" s="67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>
      <c r="A650" s="65"/>
      <c r="B650" s="67"/>
      <c r="C650" s="67"/>
      <c r="D650" s="67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>
      <c r="A651" s="65"/>
      <c r="B651" s="67"/>
      <c r="C651" s="67"/>
      <c r="D651" s="67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>
      <c r="A652" s="65"/>
      <c r="B652" s="67"/>
      <c r="C652" s="67"/>
      <c r="D652" s="67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>
      <c r="A653" s="65"/>
      <c r="B653" s="67"/>
      <c r="C653" s="67"/>
      <c r="D653" s="67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>
      <c r="A654" s="65"/>
      <c r="B654" s="67"/>
      <c r="C654" s="67"/>
      <c r="D654" s="67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>
      <c r="A655" s="65"/>
      <c r="B655" s="67"/>
      <c r="C655" s="67"/>
      <c r="D655" s="67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>
      <c r="A656" s="65"/>
      <c r="B656" s="67"/>
      <c r="C656" s="67"/>
      <c r="D656" s="67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>
      <c r="A657" s="65"/>
      <c r="B657" s="67"/>
      <c r="C657" s="67"/>
      <c r="D657" s="67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>
      <c r="A658" s="65"/>
      <c r="B658" s="67"/>
      <c r="C658" s="67"/>
      <c r="D658" s="67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>
      <c r="A659" s="65"/>
      <c r="B659" s="67"/>
      <c r="C659" s="67"/>
      <c r="D659" s="67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>
      <c r="A660" s="65"/>
      <c r="B660" s="67"/>
      <c r="C660" s="67"/>
      <c r="D660" s="67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>
      <c r="A661" s="65"/>
      <c r="B661" s="67"/>
      <c r="C661" s="67"/>
      <c r="D661" s="67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>
      <c r="A662" s="65"/>
      <c r="B662" s="67"/>
      <c r="C662" s="67"/>
      <c r="D662" s="67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>
      <c r="A663" s="65"/>
      <c r="B663" s="67"/>
      <c r="C663" s="67"/>
      <c r="D663" s="67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>
      <c r="A664" s="65"/>
      <c r="B664" s="67"/>
      <c r="C664" s="67"/>
      <c r="D664" s="67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>
      <c r="A665" s="65"/>
      <c r="B665" s="67"/>
      <c r="C665" s="67"/>
      <c r="D665" s="67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>
      <c r="A666" s="65"/>
      <c r="B666" s="67"/>
      <c r="C666" s="67"/>
      <c r="D666" s="67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>
      <c r="A667" s="65"/>
      <c r="B667" s="67"/>
      <c r="C667" s="67"/>
      <c r="D667" s="67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>
      <c r="A668" s="65"/>
      <c r="B668" s="67"/>
      <c r="C668" s="67"/>
      <c r="D668" s="67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>
      <c r="A669" s="65"/>
      <c r="B669" s="67"/>
      <c r="C669" s="67"/>
      <c r="D669" s="67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>
      <c r="A670" s="65"/>
      <c r="B670" s="67"/>
      <c r="C670" s="67"/>
      <c r="D670" s="67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>
      <c r="A671" s="65"/>
      <c r="B671" s="67"/>
      <c r="C671" s="67"/>
      <c r="D671" s="67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>
      <c r="A672" s="65"/>
      <c r="B672" s="67"/>
      <c r="C672" s="67"/>
      <c r="D672" s="67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>
      <c r="A673" s="65"/>
      <c r="B673" s="67"/>
      <c r="C673" s="67"/>
      <c r="D673" s="67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>
      <c r="A674" s="65"/>
      <c r="B674" s="67"/>
      <c r="C674" s="67"/>
      <c r="D674" s="67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>
      <c r="A675" s="65"/>
      <c r="B675" s="67"/>
      <c r="C675" s="67"/>
      <c r="D675" s="67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>
      <c r="A676" s="65"/>
      <c r="B676" s="67"/>
      <c r="C676" s="67"/>
      <c r="D676" s="67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>
      <c r="A677" s="65"/>
      <c r="B677" s="67"/>
      <c r="C677" s="67"/>
      <c r="D677" s="67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>
      <c r="A678" s="65"/>
      <c r="B678" s="67"/>
      <c r="C678" s="67"/>
      <c r="D678" s="67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>
      <c r="A679" s="65"/>
      <c r="B679" s="67"/>
      <c r="C679" s="67"/>
      <c r="D679" s="67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>
      <c r="A680" s="65"/>
      <c r="B680" s="67"/>
      <c r="C680" s="67"/>
      <c r="D680" s="67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>
      <c r="A681" s="65"/>
      <c r="B681" s="67"/>
      <c r="C681" s="67"/>
      <c r="D681" s="67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>
      <c r="A682" s="65"/>
      <c r="B682" s="67"/>
      <c r="C682" s="67"/>
      <c r="D682" s="67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>
      <c r="A683" s="65"/>
      <c r="B683" s="67"/>
      <c r="C683" s="67"/>
      <c r="D683" s="67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>
      <c r="A684" s="65"/>
      <c r="B684" s="67"/>
      <c r="C684" s="67"/>
      <c r="D684" s="67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>
      <c r="A685" s="65"/>
      <c r="B685" s="67"/>
      <c r="C685" s="67"/>
      <c r="D685" s="67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>
      <c r="A686" s="65"/>
      <c r="B686" s="67"/>
      <c r="C686" s="67"/>
      <c r="D686" s="67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>
      <c r="A687" s="65"/>
      <c r="B687" s="67"/>
      <c r="C687" s="67"/>
      <c r="D687" s="67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>
      <c r="A688" s="65"/>
      <c r="B688" s="67"/>
      <c r="C688" s="67"/>
      <c r="D688" s="67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>
      <c r="A689" s="65"/>
      <c r="B689" s="67"/>
      <c r="C689" s="67"/>
      <c r="D689" s="67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>
      <c r="A690" s="65"/>
      <c r="B690" s="67"/>
      <c r="C690" s="67"/>
      <c r="D690" s="67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>
      <c r="A691" s="65"/>
      <c r="B691" s="67"/>
      <c r="C691" s="67"/>
      <c r="D691" s="67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>
      <c r="A692" s="65"/>
      <c r="B692" s="67"/>
      <c r="C692" s="67"/>
      <c r="D692" s="67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>
      <c r="A693" s="65"/>
      <c r="B693" s="67"/>
      <c r="C693" s="67"/>
      <c r="D693" s="67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>
      <c r="A694" s="65"/>
      <c r="B694" s="67"/>
      <c r="C694" s="67"/>
      <c r="D694" s="67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>
      <c r="A695" s="65"/>
      <c r="B695" s="67"/>
      <c r="C695" s="67"/>
      <c r="D695" s="67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>
      <c r="A696" s="65"/>
      <c r="B696" s="67"/>
      <c r="C696" s="67"/>
      <c r="D696" s="67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>
      <c r="A697" s="65"/>
      <c r="B697" s="67"/>
      <c r="C697" s="67"/>
      <c r="D697" s="67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>
      <c r="A698" s="65"/>
      <c r="B698" s="67"/>
      <c r="C698" s="67"/>
      <c r="D698" s="67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>
      <c r="A699" s="65"/>
      <c r="B699" s="67"/>
      <c r="C699" s="67"/>
      <c r="D699" s="67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>
      <c r="A700" s="65"/>
      <c r="B700" s="67"/>
      <c r="C700" s="67"/>
      <c r="D700" s="67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>
      <c r="A701" s="65"/>
      <c r="B701" s="67"/>
      <c r="C701" s="67"/>
      <c r="D701" s="67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>
      <c r="A702" s="65"/>
      <c r="B702" s="67"/>
      <c r="C702" s="67"/>
      <c r="D702" s="67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>
      <c r="A703" s="65"/>
      <c r="B703" s="67"/>
      <c r="C703" s="67"/>
      <c r="D703" s="67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>
      <c r="A704" s="65"/>
      <c r="B704" s="67"/>
      <c r="C704" s="67"/>
      <c r="D704" s="67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>
      <c r="A705" s="65"/>
      <c r="B705" s="67"/>
      <c r="C705" s="67"/>
      <c r="D705" s="67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>
      <c r="A706" s="65"/>
      <c r="B706" s="67"/>
      <c r="C706" s="67"/>
      <c r="D706" s="67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>
      <c r="A707" s="65"/>
      <c r="B707" s="67"/>
      <c r="C707" s="67"/>
      <c r="D707" s="67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>
      <c r="A708" s="65"/>
      <c r="B708" s="67"/>
      <c r="C708" s="67"/>
      <c r="D708" s="67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>
      <c r="A709" s="65"/>
      <c r="B709" s="67"/>
      <c r="C709" s="67"/>
      <c r="D709" s="67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>
      <c r="A710" s="65"/>
      <c r="B710" s="67"/>
      <c r="C710" s="67"/>
      <c r="D710" s="67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>
      <c r="A711" s="65"/>
      <c r="B711" s="67"/>
      <c r="C711" s="67"/>
      <c r="D711" s="67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>
      <c r="A712" s="65"/>
      <c r="B712" s="67"/>
      <c r="C712" s="67"/>
      <c r="D712" s="67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>
      <c r="A713" s="65"/>
      <c r="B713" s="67"/>
      <c r="C713" s="67"/>
      <c r="D713" s="67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>
      <c r="A714" s="65"/>
      <c r="B714" s="67"/>
      <c r="C714" s="67"/>
      <c r="D714" s="67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>
      <c r="A715" s="65"/>
      <c r="B715" s="67"/>
      <c r="C715" s="67"/>
      <c r="D715" s="67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>
      <c r="A716" s="65"/>
      <c r="B716" s="67"/>
      <c r="C716" s="67"/>
      <c r="D716" s="67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>
      <c r="A717" s="65"/>
      <c r="B717" s="67"/>
      <c r="C717" s="67"/>
      <c r="D717" s="67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>
      <c r="A718" s="65"/>
      <c r="B718" s="67"/>
      <c r="C718" s="67"/>
      <c r="D718" s="67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>
      <c r="A719" s="65"/>
      <c r="B719" s="67"/>
      <c r="C719" s="67"/>
      <c r="D719" s="67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>
      <c r="A720" s="65"/>
      <c r="B720" s="67"/>
      <c r="C720" s="67"/>
      <c r="D720" s="67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>
      <c r="A721" s="65"/>
      <c r="B721" s="67"/>
      <c r="C721" s="67"/>
      <c r="D721" s="67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>
      <c r="A722" s="65"/>
      <c r="B722" s="67"/>
      <c r="C722" s="67"/>
      <c r="D722" s="67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>
      <c r="A723" s="65"/>
      <c r="B723" s="67"/>
      <c r="C723" s="67"/>
      <c r="D723" s="67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>
      <c r="A724" s="65"/>
      <c r="B724" s="67"/>
      <c r="C724" s="67"/>
      <c r="D724" s="67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>
      <c r="A725" s="65"/>
      <c r="B725" s="67"/>
      <c r="C725" s="67"/>
      <c r="D725" s="67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>
      <c r="A726" s="65"/>
      <c r="B726" s="67"/>
      <c r="C726" s="67"/>
      <c r="D726" s="67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>
      <c r="A727" s="65"/>
      <c r="B727" s="67"/>
      <c r="C727" s="67"/>
      <c r="D727" s="67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>
      <c r="A728" s="65"/>
      <c r="B728" s="67"/>
      <c r="C728" s="67"/>
      <c r="D728" s="67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>
      <c r="A729" s="65"/>
      <c r="B729" s="67"/>
      <c r="C729" s="67"/>
      <c r="D729" s="67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>
      <c r="A730" s="65"/>
      <c r="B730" s="67"/>
      <c r="C730" s="67"/>
      <c r="D730" s="67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>
      <c r="A731" s="65"/>
      <c r="B731" s="67"/>
      <c r="C731" s="67"/>
      <c r="D731" s="67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>
      <c r="A732" s="65"/>
      <c r="B732" s="67"/>
      <c r="C732" s="67"/>
      <c r="D732" s="67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>
      <c r="A733" s="65"/>
      <c r="B733" s="67"/>
      <c r="C733" s="67"/>
      <c r="D733" s="67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>
      <c r="A734" s="65"/>
      <c r="B734" s="67"/>
      <c r="C734" s="67"/>
      <c r="D734" s="67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>
      <c r="A735" s="65"/>
      <c r="B735" s="67"/>
      <c r="C735" s="67"/>
      <c r="D735" s="67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>
      <c r="A736" s="65"/>
      <c r="B736" s="67"/>
      <c r="C736" s="67"/>
      <c r="D736" s="67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>
      <c r="A737" s="65"/>
      <c r="B737" s="67"/>
      <c r="C737" s="67"/>
      <c r="D737" s="67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>
      <c r="A738" s="65"/>
      <c r="B738" s="67"/>
      <c r="C738" s="67"/>
      <c r="D738" s="67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>
      <c r="A739" s="65"/>
      <c r="B739" s="67"/>
      <c r="C739" s="67"/>
      <c r="D739" s="67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>
      <c r="A740" s="65"/>
      <c r="B740" s="67"/>
      <c r="C740" s="67"/>
      <c r="D740" s="67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>
      <c r="A741" s="65"/>
      <c r="B741" s="67"/>
      <c r="C741" s="67"/>
      <c r="D741" s="67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>
      <c r="A742" s="65"/>
      <c r="B742" s="67"/>
      <c r="C742" s="67"/>
      <c r="D742" s="67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>
      <c r="A743" s="65"/>
      <c r="B743" s="67"/>
      <c r="C743" s="67"/>
      <c r="D743" s="67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>
      <c r="A744" s="65"/>
      <c r="B744" s="67"/>
      <c r="C744" s="67"/>
      <c r="D744" s="67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>
      <c r="A745" s="65"/>
      <c r="B745" s="67"/>
      <c r="C745" s="67"/>
      <c r="D745" s="67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>
      <c r="A746" s="65"/>
      <c r="B746" s="67"/>
      <c r="C746" s="67"/>
      <c r="D746" s="67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>
      <c r="A747" s="65"/>
      <c r="B747" s="67"/>
      <c r="C747" s="67"/>
      <c r="D747" s="67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>
      <c r="A748" s="65"/>
      <c r="B748" s="67"/>
      <c r="C748" s="67"/>
      <c r="D748" s="67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>
      <c r="A749" s="65"/>
      <c r="B749" s="67"/>
      <c r="C749" s="67"/>
      <c r="D749" s="67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>
      <c r="A750" s="65"/>
      <c r="B750" s="67"/>
      <c r="C750" s="67"/>
      <c r="D750" s="67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>
      <c r="A751" s="65"/>
      <c r="B751" s="67"/>
      <c r="C751" s="67"/>
      <c r="D751" s="67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>
      <c r="A752" s="65"/>
      <c r="B752" s="67"/>
      <c r="C752" s="67"/>
      <c r="D752" s="67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>
      <c r="A753" s="65"/>
      <c r="B753" s="67"/>
      <c r="C753" s="67"/>
      <c r="D753" s="67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>
      <c r="A754" s="65"/>
      <c r="B754" s="67"/>
      <c r="C754" s="67"/>
      <c r="D754" s="67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>
      <c r="A755" s="65"/>
      <c r="B755" s="67"/>
      <c r="C755" s="67"/>
      <c r="D755" s="67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>
      <c r="A756" s="65"/>
      <c r="B756" s="67"/>
      <c r="C756" s="67"/>
      <c r="D756" s="67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>
      <c r="A757" s="65"/>
      <c r="B757" s="67"/>
      <c r="C757" s="67"/>
      <c r="D757" s="67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>
      <c r="A758" s="65"/>
      <c r="B758" s="67"/>
      <c r="C758" s="67"/>
      <c r="D758" s="67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>
      <c r="A759" s="65"/>
      <c r="B759" s="67"/>
      <c r="C759" s="67"/>
      <c r="D759" s="67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>
      <c r="A760" s="65"/>
      <c r="B760" s="67"/>
      <c r="C760" s="67"/>
      <c r="D760" s="67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>
      <c r="A761" s="65"/>
      <c r="B761" s="67"/>
      <c r="C761" s="67"/>
      <c r="D761" s="67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>
      <c r="A762" s="65"/>
      <c r="B762" s="67"/>
      <c r="C762" s="67"/>
      <c r="D762" s="67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>
      <c r="A763" s="65"/>
      <c r="B763" s="67"/>
      <c r="C763" s="67"/>
      <c r="D763" s="67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>
      <c r="A764" s="65"/>
      <c r="B764" s="67"/>
      <c r="C764" s="67"/>
      <c r="D764" s="67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>
      <c r="A765" s="65"/>
      <c r="B765" s="67"/>
      <c r="C765" s="67"/>
      <c r="D765" s="67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>
      <c r="A766" s="65"/>
      <c r="B766" s="67"/>
      <c r="C766" s="67"/>
      <c r="D766" s="67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>
      <c r="A767" s="65"/>
      <c r="B767" s="67"/>
      <c r="C767" s="67"/>
      <c r="D767" s="67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>
      <c r="A768" s="65"/>
      <c r="B768" s="67"/>
      <c r="C768" s="67"/>
      <c r="D768" s="67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>
      <c r="A769" s="65"/>
      <c r="B769" s="67"/>
      <c r="C769" s="67"/>
      <c r="D769" s="67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>
      <c r="A770" s="65"/>
      <c r="B770" s="67"/>
      <c r="C770" s="67"/>
      <c r="D770" s="67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>
      <c r="A771" s="65"/>
      <c r="B771" s="67"/>
      <c r="C771" s="67"/>
      <c r="D771" s="67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>
      <c r="A772" s="65"/>
      <c r="B772" s="67"/>
      <c r="C772" s="67"/>
      <c r="D772" s="67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>
      <c r="A773" s="65"/>
      <c r="B773" s="67"/>
      <c r="C773" s="67"/>
      <c r="D773" s="67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>
      <c r="A774" s="65"/>
      <c r="B774" s="67"/>
      <c r="C774" s="67"/>
      <c r="D774" s="67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>
      <c r="A775" s="65"/>
      <c r="B775" s="67"/>
      <c r="C775" s="67"/>
      <c r="D775" s="67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>
      <c r="A776" s="65"/>
      <c r="B776" s="67"/>
      <c r="C776" s="67"/>
      <c r="D776" s="67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>
      <c r="A777" s="65"/>
      <c r="B777" s="67"/>
      <c r="C777" s="67"/>
      <c r="D777" s="67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>
      <c r="A778" s="65"/>
      <c r="B778" s="67"/>
      <c r="C778" s="67"/>
      <c r="D778" s="67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>
      <c r="A779" s="65"/>
      <c r="B779" s="67"/>
      <c r="C779" s="67"/>
      <c r="D779" s="67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>
      <c r="A780" s="65"/>
      <c r="B780" s="67"/>
      <c r="C780" s="67"/>
      <c r="D780" s="67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>
      <c r="A781" s="65"/>
      <c r="B781" s="67"/>
      <c r="C781" s="67"/>
      <c r="D781" s="67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>
      <c r="A782" s="65"/>
      <c r="B782" s="67"/>
      <c r="C782" s="67"/>
      <c r="D782" s="67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>
      <c r="A783" s="65"/>
      <c r="B783" s="67"/>
      <c r="C783" s="67"/>
      <c r="D783" s="67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>
      <c r="A784" s="65"/>
      <c r="B784" s="67"/>
      <c r="C784" s="67"/>
      <c r="D784" s="67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>
      <c r="A785" s="65"/>
      <c r="B785" s="67"/>
      <c r="C785" s="67"/>
      <c r="D785" s="67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>
      <c r="A786" s="65"/>
      <c r="B786" s="67"/>
      <c r="C786" s="67"/>
      <c r="D786" s="67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>
      <c r="A787" s="65"/>
      <c r="B787" s="67"/>
      <c r="C787" s="67"/>
      <c r="D787" s="67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>
      <c r="A788" s="65"/>
      <c r="B788" s="67"/>
      <c r="C788" s="67"/>
      <c r="D788" s="67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>
      <c r="A789" s="65"/>
      <c r="B789" s="67"/>
      <c r="C789" s="67"/>
      <c r="D789" s="67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>
      <c r="A790" s="65"/>
      <c r="B790" s="67"/>
      <c r="C790" s="67"/>
      <c r="D790" s="67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>
      <c r="A791" s="65"/>
      <c r="B791" s="67"/>
      <c r="C791" s="67"/>
      <c r="D791" s="67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>
      <c r="A792" s="65"/>
      <c r="B792" s="67"/>
      <c r="C792" s="67"/>
      <c r="D792" s="67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>
      <c r="A793" s="65"/>
      <c r="B793" s="67"/>
      <c r="C793" s="67"/>
      <c r="D793" s="67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>
      <c r="A794" s="65"/>
      <c r="B794" s="67"/>
      <c r="C794" s="67"/>
      <c r="D794" s="67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>
      <c r="A795" s="65"/>
      <c r="B795" s="67"/>
      <c r="C795" s="67"/>
      <c r="D795" s="67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>
      <c r="A796" s="65"/>
      <c r="B796" s="67"/>
      <c r="C796" s="67"/>
      <c r="D796" s="67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>
      <c r="A797" s="65"/>
      <c r="B797" s="67"/>
      <c r="C797" s="67"/>
      <c r="D797" s="67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>
      <c r="A798" s="65"/>
      <c r="B798" s="67"/>
      <c r="C798" s="67"/>
      <c r="D798" s="67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>
      <c r="A799" s="65"/>
      <c r="B799" s="67"/>
      <c r="C799" s="67"/>
      <c r="D799" s="67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>
      <c r="A800" s="65"/>
      <c r="B800" s="67"/>
      <c r="C800" s="67"/>
      <c r="D800" s="67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>
      <c r="A801" s="65"/>
      <c r="B801" s="67"/>
      <c r="C801" s="67"/>
      <c r="D801" s="67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>
      <c r="A802" s="65"/>
      <c r="B802" s="67"/>
      <c r="C802" s="67"/>
      <c r="D802" s="67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>
      <c r="A803" s="65"/>
      <c r="B803" s="67"/>
      <c r="C803" s="67"/>
      <c r="D803" s="67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>
      <c r="A804" s="65"/>
      <c r="B804" s="67"/>
      <c r="C804" s="67"/>
      <c r="D804" s="67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>
      <c r="A805" s="65"/>
      <c r="B805" s="67"/>
      <c r="C805" s="67"/>
      <c r="D805" s="67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>
      <c r="A806" s="65"/>
      <c r="B806" s="67"/>
      <c r="C806" s="67"/>
      <c r="D806" s="67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>
      <c r="A807" s="65"/>
      <c r="B807" s="67"/>
      <c r="C807" s="67"/>
      <c r="D807" s="67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>
      <c r="A808" s="65"/>
      <c r="B808" s="67"/>
      <c r="C808" s="67"/>
      <c r="D808" s="67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>
      <c r="A809" s="65"/>
      <c r="B809" s="67"/>
      <c r="C809" s="67"/>
      <c r="D809" s="67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>
      <c r="A810" s="65"/>
      <c r="B810" s="67"/>
      <c r="C810" s="67"/>
      <c r="D810" s="67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>
      <c r="A811" s="65"/>
      <c r="B811" s="67"/>
      <c r="C811" s="67"/>
      <c r="D811" s="67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>
      <c r="A812" s="65"/>
      <c r="B812" s="67"/>
      <c r="C812" s="67"/>
      <c r="D812" s="67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>
      <c r="A813" s="65"/>
      <c r="B813" s="67"/>
      <c r="C813" s="67"/>
      <c r="D813" s="67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>
      <c r="A814" s="65"/>
      <c r="B814" s="67"/>
      <c r="C814" s="67"/>
      <c r="D814" s="67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>
      <c r="A815" s="65"/>
      <c r="B815" s="67"/>
      <c r="C815" s="67"/>
      <c r="D815" s="67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>
      <c r="A816" s="65"/>
      <c r="B816" s="67"/>
      <c r="C816" s="67"/>
      <c r="D816" s="67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>
      <c r="A817" s="65"/>
      <c r="B817" s="67"/>
      <c r="C817" s="67"/>
      <c r="D817" s="67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>
      <c r="A818" s="65"/>
      <c r="B818" s="67"/>
      <c r="C818" s="67"/>
      <c r="D818" s="67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>
      <c r="A819" s="65"/>
      <c r="B819" s="67"/>
      <c r="C819" s="67"/>
      <c r="D819" s="67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>
      <c r="A820" s="65"/>
      <c r="B820" s="67"/>
      <c r="C820" s="67"/>
      <c r="D820" s="67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>
      <c r="A821" s="65"/>
      <c r="B821" s="67"/>
      <c r="C821" s="67"/>
      <c r="D821" s="67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>
      <c r="A822" s="65"/>
      <c r="B822" s="67"/>
      <c r="C822" s="67"/>
      <c r="D822" s="67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>
      <c r="A823" s="65"/>
      <c r="B823" s="67"/>
      <c r="C823" s="67"/>
      <c r="D823" s="67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>
      <c r="A824" s="65"/>
      <c r="B824" s="67"/>
      <c r="C824" s="67"/>
      <c r="D824" s="67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>
      <c r="A825" s="65"/>
      <c r="B825" s="67"/>
      <c r="C825" s="67"/>
      <c r="D825" s="67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>
      <c r="A826" s="65"/>
      <c r="B826" s="67"/>
      <c r="C826" s="67"/>
      <c r="D826" s="67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>
      <c r="A827" s="65"/>
      <c r="B827" s="67"/>
      <c r="C827" s="67"/>
      <c r="D827" s="67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>
      <c r="A828" s="65"/>
      <c r="B828" s="67"/>
      <c r="C828" s="67"/>
      <c r="D828" s="67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>
      <c r="A829" s="65"/>
      <c r="B829" s="67"/>
      <c r="C829" s="67"/>
      <c r="D829" s="67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>
      <c r="A830" s="65"/>
      <c r="B830" s="67"/>
      <c r="C830" s="67"/>
      <c r="D830" s="67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>
      <c r="A831" s="65"/>
      <c r="B831" s="67"/>
      <c r="C831" s="67"/>
      <c r="D831" s="67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>
      <c r="A832" s="65"/>
      <c r="B832" s="67"/>
      <c r="C832" s="67"/>
      <c r="D832" s="67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>
      <c r="A833" s="65"/>
      <c r="B833" s="67"/>
      <c r="C833" s="67"/>
      <c r="D833" s="67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>
      <c r="A834" s="65"/>
      <c r="B834" s="67"/>
      <c r="C834" s="67"/>
      <c r="D834" s="67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>
      <c r="A835" s="65"/>
      <c r="B835" s="67"/>
      <c r="C835" s="67"/>
      <c r="D835" s="67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>
      <c r="A836" s="65"/>
      <c r="B836" s="67"/>
      <c r="C836" s="67"/>
      <c r="D836" s="67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>
      <c r="A837" s="65"/>
      <c r="B837" s="67"/>
      <c r="C837" s="67"/>
      <c r="D837" s="67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>
      <c r="A838" s="65"/>
      <c r="B838" s="67"/>
      <c r="C838" s="67"/>
      <c r="D838" s="67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>
      <c r="A839" s="65"/>
      <c r="B839" s="67"/>
      <c r="C839" s="67"/>
      <c r="D839" s="67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>
      <c r="A840" s="65"/>
      <c r="B840" s="67"/>
      <c r="C840" s="67"/>
      <c r="D840" s="67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>
      <c r="A841" s="65"/>
      <c r="B841" s="67"/>
      <c r="C841" s="67"/>
      <c r="D841" s="67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>
      <c r="A842" s="65"/>
      <c r="B842" s="67"/>
      <c r="C842" s="67"/>
      <c r="D842" s="67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>
      <c r="A843" s="65"/>
      <c r="B843" s="67"/>
      <c r="C843" s="67"/>
      <c r="D843" s="67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>
      <c r="A844" s="65"/>
      <c r="B844" s="67"/>
      <c r="C844" s="67"/>
      <c r="D844" s="67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>
      <c r="A845" s="65"/>
      <c r="B845" s="67"/>
      <c r="C845" s="67"/>
      <c r="D845" s="67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>
      <c r="A846" s="65"/>
      <c r="B846" s="67"/>
      <c r="C846" s="67"/>
      <c r="D846" s="67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>
      <c r="A847" s="65"/>
      <c r="B847" s="67"/>
      <c r="C847" s="67"/>
      <c r="D847" s="67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>
      <c r="A848" s="65"/>
      <c r="B848" s="67"/>
      <c r="C848" s="67"/>
      <c r="D848" s="67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>
      <c r="A849" s="65"/>
      <c r="B849" s="67"/>
      <c r="C849" s="67"/>
      <c r="D849" s="67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>
      <c r="A850" s="65"/>
      <c r="B850" s="67"/>
      <c r="C850" s="67"/>
      <c r="D850" s="67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>
      <c r="A851" s="65"/>
      <c r="B851" s="67"/>
      <c r="C851" s="67"/>
      <c r="D851" s="67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>
      <c r="A852" s="65"/>
      <c r="B852" s="67"/>
      <c r="C852" s="67"/>
      <c r="D852" s="67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>
      <c r="A853" s="65"/>
      <c r="B853" s="67"/>
      <c r="C853" s="67"/>
      <c r="D853" s="67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>
      <c r="A854" s="65"/>
      <c r="B854" s="67"/>
      <c r="C854" s="67"/>
      <c r="D854" s="67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>
      <c r="A855" s="65"/>
      <c r="B855" s="67"/>
      <c r="C855" s="67"/>
      <c r="D855" s="67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>
      <c r="A856" s="65"/>
      <c r="B856" s="67"/>
      <c r="C856" s="67"/>
      <c r="D856" s="67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>
      <c r="A857" s="65"/>
      <c r="B857" s="67"/>
      <c r="C857" s="67"/>
      <c r="D857" s="67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>
      <c r="A858" s="65"/>
      <c r="B858" s="67"/>
      <c r="C858" s="67"/>
      <c r="D858" s="67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>
      <c r="A859" s="65"/>
      <c r="B859" s="67"/>
      <c r="C859" s="67"/>
      <c r="D859" s="67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>
      <c r="A860" s="65"/>
      <c r="B860" s="67"/>
      <c r="C860" s="67"/>
      <c r="D860" s="67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>
      <c r="A861" s="65"/>
      <c r="B861" s="67"/>
      <c r="C861" s="67"/>
      <c r="D861" s="67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>
      <c r="A862" s="65"/>
      <c r="B862" s="67"/>
      <c r="C862" s="67"/>
      <c r="D862" s="67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>
      <c r="A863" s="65"/>
      <c r="B863" s="67"/>
      <c r="C863" s="67"/>
      <c r="D863" s="67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>
      <c r="A864" s="65"/>
      <c r="B864" s="67"/>
      <c r="C864" s="67"/>
      <c r="D864" s="67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>
      <c r="A865" s="65"/>
      <c r="B865" s="67"/>
      <c r="C865" s="67"/>
      <c r="D865" s="67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>
      <c r="A866" s="65"/>
      <c r="B866" s="67"/>
      <c r="C866" s="67"/>
      <c r="D866" s="67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>
      <c r="A867" s="65"/>
      <c r="B867" s="67"/>
      <c r="C867" s="67"/>
      <c r="D867" s="67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>
      <c r="A868" s="65"/>
      <c r="B868" s="67"/>
      <c r="C868" s="67"/>
      <c r="D868" s="67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>
      <c r="A869" s="65"/>
      <c r="B869" s="67"/>
      <c r="C869" s="67"/>
      <c r="D869" s="67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>
      <c r="A870" s="65"/>
      <c r="B870" s="67"/>
      <c r="C870" s="67"/>
      <c r="D870" s="67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>
      <c r="A871" s="65"/>
      <c r="B871" s="67"/>
      <c r="C871" s="67"/>
      <c r="D871" s="67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>
      <c r="A872" s="65"/>
      <c r="B872" s="67"/>
      <c r="C872" s="67"/>
      <c r="D872" s="67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>
      <c r="A873" s="65"/>
      <c r="B873" s="67"/>
      <c r="C873" s="67"/>
      <c r="D873" s="67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>
      <c r="A874" s="65"/>
      <c r="B874" s="67"/>
      <c r="C874" s="67"/>
      <c r="D874" s="67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>
      <c r="A875" s="65"/>
      <c r="B875" s="67"/>
      <c r="C875" s="67"/>
      <c r="D875" s="67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>
      <c r="A876" s="65"/>
      <c r="B876" s="67"/>
      <c r="C876" s="67"/>
      <c r="D876" s="67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>
      <c r="A877" s="65"/>
      <c r="B877" s="67"/>
      <c r="C877" s="67"/>
      <c r="D877" s="67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>
      <c r="A878" s="65"/>
      <c r="B878" s="67"/>
      <c r="C878" s="67"/>
      <c r="D878" s="67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>
      <c r="A879" s="65"/>
      <c r="B879" s="67"/>
      <c r="C879" s="67"/>
      <c r="D879" s="67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>
      <c r="A880" s="65"/>
      <c r="B880" s="67"/>
      <c r="C880" s="67"/>
      <c r="D880" s="67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>
      <c r="A881" s="65"/>
      <c r="B881" s="67"/>
      <c r="C881" s="67"/>
      <c r="D881" s="67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>
      <c r="A882" s="65"/>
      <c r="B882" s="67"/>
      <c r="C882" s="67"/>
      <c r="D882" s="67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>
      <c r="A883" s="65"/>
      <c r="B883" s="67"/>
      <c r="C883" s="67"/>
      <c r="D883" s="67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>
      <c r="A884" s="65"/>
      <c r="B884" s="67"/>
      <c r="C884" s="67"/>
      <c r="D884" s="67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>
      <c r="A885" s="65"/>
      <c r="B885" s="67"/>
      <c r="C885" s="67"/>
      <c r="D885" s="67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>
      <c r="A886" s="65"/>
      <c r="B886" s="67"/>
      <c r="C886" s="67"/>
      <c r="D886" s="67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>
      <c r="A887" s="65"/>
      <c r="B887" s="67"/>
      <c r="C887" s="67"/>
      <c r="D887" s="67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>
      <c r="A888" s="65"/>
      <c r="B888" s="67"/>
      <c r="C888" s="67"/>
      <c r="D888" s="67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>
      <c r="A889" s="65"/>
      <c r="B889" s="67"/>
      <c r="C889" s="67"/>
      <c r="D889" s="67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>
      <c r="A890" s="65"/>
      <c r="B890" s="67"/>
      <c r="C890" s="67"/>
      <c r="D890" s="67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>
      <c r="A891" s="65"/>
      <c r="B891" s="67"/>
      <c r="C891" s="67"/>
      <c r="D891" s="67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>
      <c r="A892" s="65"/>
      <c r="B892" s="67"/>
      <c r="C892" s="67"/>
      <c r="D892" s="67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>
      <c r="A893" s="65"/>
      <c r="B893" s="67"/>
      <c r="C893" s="67"/>
      <c r="D893" s="67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>
      <c r="A894" s="65"/>
      <c r="B894" s="67"/>
      <c r="C894" s="67"/>
      <c r="D894" s="67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>
      <c r="A895" s="65"/>
      <c r="B895" s="67"/>
      <c r="C895" s="67"/>
      <c r="D895" s="67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>
      <c r="A896" s="65"/>
      <c r="B896" s="67"/>
      <c r="C896" s="67"/>
      <c r="D896" s="67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>
      <c r="A897" s="65"/>
      <c r="B897" s="67"/>
      <c r="C897" s="67"/>
      <c r="D897" s="67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>
      <c r="A898" s="65"/>
      <c r="B898" s="67"/>
      <c r="C898" s="67"/>
      <c r="D898" s="67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>
      <c r="A899" s="65"/>
      <c r="B899" s="67"/>
      <c r="C899" s="67"/>
      <c r="D899" s="67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>
      <c r="A900" s="65"/>
      <c r="B900" s="67"/>
      <c r="C900" s="67"/>
      <c r="D900" s="67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>
      <c r="A901" s="65"/>
      <c r="B901" s="67"/>
      <c r="C901" s="67"/>
      <c r="D901" s="67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>
      <c r="A902" s="65"/>
      <c r="B902" s="67"/>
      <c r="C902" s="67"/>
      <c r="D902" s="67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>
      <c r="A903" s="65"/>
      <c r="B903" s="67"/>
      <c r="C903" s="67"/>
      <c r="D903" s="67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>
      <c r="A904" s="65"/>
      <c r="B904" s="67"/>
      <c r="C904" s="67"/>
      <c r="D904" s="67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>
      <c r="A905" s="65"/>
      <c r="B905" s="67"/>
      <c r="C905" s="67"/>
      <c r="D905" s="67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>
      <c r="A906" s="65"/>
      <c r="B906" s="67"/>
      <c r="C906" s="67"/>
      <c r="D906" s="67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>
      <c r="A907" s="65"/>
      <c r="B907" s="67"/>
      <c r="C907" s="67"/>
      <c r="D907" s="67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>
      <c r="A908" s="65"/>
      <c r="B908" s="67"/>
      <c r="C908" s="67"/>
      <c r="D908" s="67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>
      <c r="A909" s="65"/>
      <c r="B909" s="67"/>
      <c r="C909" s="67"/>
      <c r="D909" s="67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>
      <c r="A910" s="65"/>
      <c r="B910" s="67"/>
      <c r="C910" s="67"/>
      <c r="D910" s="67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>
      <c r="A911" s="65"/>
      <c r="B911" s="67"/>
      <c r="C911" s="67"/>
      <c r="D911" s="67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>
      <c r="A912" s="65"/>
      <c r="B912" s="67"/>
      <c r="C912" s="67"/>
      <c r="D912" s="67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>
      <c r="A913" s="65"/>
      <c r="B913" s="67"/>
      <c r="C913" s="67"/>
      <c r="D913" s="67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>
      <c r="A914" s="65"/>
      <c r="B914" s="67"/>
      <c r="C914" s="67"/>
      <c r="D914" s="67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>
      <c r="A915" s="65"/>
      <c r="B915" s="67"/>
      <c r="C915" s="67"/>
      <c r="D915" s="67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>
      <c r="A916" s="65"/>
      <c r="B916" s="67"/>
      <c r="C916" s="67"/>
      <c r="D916" s="67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>
      <c r="A917" s="65"/>
      <c r="B917" s="67"/>
      <c r="C917" s="67"/>
      <c r="D917" s="67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>
      <c r="A918" s="65"/>
      <c r="B918" s="67"/>
      <c r="C918" s="67"/>
      <c r="D918" s="67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>
      <c r="A919" s="65"/>
      <c r="B919" s="67"/>
      <c r="C919" s="67"/>
      <c r="D919" s="67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>
      <c r="A920" s="65"/>
      <c r="B920" s="67"/>
      <c r="C920" s="67"/>
      <c r="D920" s="67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>
      <c r="A921" s="65"/>
      <c r="B921" s="67"/>
      <c r="C921" s="67"/>
      <c r="D921" s="67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>
      <c r="A922" s="65"/>
      <c r="B922" s="67"/>
      <c r="C922" s="67"/>
      <c r="D922" s="67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>
      <c r="A923" s="65"/>
      <c r="B923" s="67"/>
      <c r="C923" s="67"/>
      <c r="D923" s="67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>
      <c r="A924" s="65"/>
      <c r="B924" s="67"/>
      <c r="C924" s="67"/>
      <c r="D924" s="67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>
      <c r="A925" s="65"/>
      <c r="B925" s="67"/>
      <c r="C925" s="67"/>
      <c r="D925" s="67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>
      <c r="A926" s="65"/>
      <c r="B926" s="67"/>
      <c r="C926" s="67"/>
      <c r="D926" s="67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>
      <c r="A927" s="65"/>
      <c r="B927" s="67"/>
      <c r="C927" s="67"/>
      <c r="D927" s="67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>
      <c r="A928" s="65"/>
      <c r="B928" s="67"/>
      <c r="C928" s="67"/>
      <c r="D928" s="67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>
      <c r="A929" s="65"/>
      <c r="B929" s="67"/>
      <c r="C929" s="67"/>
      <c r="D929" s="67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>
      <c r="A930" s="65"/>
      <c r="B930" s="67"/>
      <c r="C930" s="67"/>
      <c r="D930" s="67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>
      <c r="A931" s="65"/>
      <c r="B931" s="67"/>
      <c r="C931" s="67"/>
      <c r="D931" s="67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>
      <c r="A932" s="65"/>
      <c r="B932" s="67"/>
      <c r="C932" s="67"/>
      <c r="D932" s="67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>
      <c r="A933" s="65"/>
      <c r="B933" s="67"/>
      <c r="C933" s="67"/>
      <c r="D933" s="67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>
      <c r="A934" s="65"/>
      <c r="B934" s="67"/>
      <c r="C934" s="67"/>
      <c r="D934" s="67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>
      <c r="A935" s="65"/>
      <c r="B935" s="67"/>
      <c r="C935" s="67"/>
      <c r="D935" s="67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>
      <c r="A936" s="65"/>
      <c r="B936" s="67"/>
      <c r="C936" s="67"/>
      <c r="D936" s="67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>
      <c r="A937" s="65"/>
      <c r="B937" s="67"/>
      <c r="C937" s="67"/>
      <c r="D937" s="67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>
      <c r="A938" s="65"/>
      <c r="B938" s="67"/>
      <c r="C938" s="67"/>
      <c r="D938" s="67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>
      <c r="A939" s="65"/>
      <c r="B939" s="67"/>
      <c r="C939" s="67"/>
      <c r="D939" s="67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>
      <c r="A940" s="65"/>
      <c r="B940" s="67"/>
      <c r="C940" s="67"/>
      <c r="D940" s="67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>
      <c r="A941" s="65"/>
      <c r="B941" s="67"/>
      <c r="C941" s="67"/>
      <c r="D941" s="67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>
      <c r="A942" s="65"/>
      <c r="B942" s="67"/>
      <c r="C942" s="67"/>
      <c r="D942" s="67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>
      <c r="A943" s="65"/>
      <c r="B943" s="67"/>
      <c r="C943" s="67"/>
      <c r="D943" s="67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>
      <c r="A944" s="65"/>
      <c r="B944" s="67"/>
      <c r="C944" s="67"/>
      <c r="D944" s="67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>
      <c r="A945" s="65"/>
      <c r="B945" s="67"/>
      <c r="C945" s="67"/>
      <c r="D945" s="67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>
      <c r="A946" s="65"/>
      <c r="B946" s="67"/>
      <c r="C946" s="67"/>
      <c r="D946" s="67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>
      <c r="A947" s="65"/>
      <c r="B947" s="67"/>
      <c r="C947" s="67"/>
      <c r="D947" s="67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>
      <c r="A948" s="65"/>
      <c r="B948" s="67"/>
      <c r="C948" s="67"/>
      <c r="D948" s="67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>
      <c r="A949" s="65"/>
      <c r="B949" s="67"/>
      <c r="C949" s="67"/>
      <c r="D949" s="67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>
      <c r="A950" s="65"/>
      <c r="B950" s="67"/>
      <c r="C950" s="67"/>
      <c r="D950" s="67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>
      <c r="A951" s="65"/>
      <c r="B951" s="67"/>
      <c r="C951" s="67"/>
      <c r="D951" s="67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>
      <c r="A952" s="65"/>
      <c r="B952" s="67"/>
      <c r="C952" s="67"/>
      <c r="D952" s="67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>
      <c r="A953" s="65"/>
      <c r="B953" s="67"/>
      <c r="C953" s="67"/>
      <c r="D953" s="67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>
      <c r="A954" s="65"/>
      <c r="B954" s="67"/>
      <c r="C954" s="67"/>
      <c r="D954" s="67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>
      <c r="A955" s="65"/>
      <c r="B955" s="67"/>
      <c r="C955" s="67"/>
      <c r="D955" s="67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>
      <c r="A956" s="65"/>
      <c r="B956" s="67"/>
      <c r="C956" s="67"/>
      <c r="D956" s="67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>
      <c r="A957" s="65"/>
      <c r="B957" s="67"/>
      <c r="C957" s="67"/>
      <c r="D957" s="67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>
      <c r="A958" s="65"/>
      <c r="B958" s="67"/>
      <c r="C958" s="67"/>
      <c r="D958" s="67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>
      <c r="A959" s="65"/>
      <c r="B959" s="67"/>
      <c r="C959" s="67"/>
      <c r="D959" s="67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>
      <c r="A960" s="65"/>
      <c r="B960" s="67"/>
      <c r="C960" s="67"/>
      <c r="D960" s="67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>
      <c r="A961" s="65"/>
      <c r="B961" s="67"/>
      <c r="C961" s="67"/>
      <c r="D961" s="67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>
      <c r="A962" s="65"/>
      <c r="B962" s="67"/>
      <c r="C962" s="67"/>
      <c r="D962" s="67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>
      <c r="A963" s="65"/>
      <c r="B963" s="67"/>
      <c r="C963" s="67"/>
      <c r="D963" s="67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>
      <c r="A964" s="65"/>
      <c r="B964" s="67"/>
      <c r="C964" s="67"/>
      <c r="D964" s="67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>
      <c r="A965" s="65"/>
      <c r="B965" s="67"/>
      <c r="C965" s="67"/>
      <c r="D965" s="67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>
      <c r="A966" s="65"/>
      <c r="B966" s="67"/>
      <c r="C966" s="67"/>
      <c r="D966" s="67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>
      <c r="A967" s="65"/>
      <c r="B967" s="67"/>
      <c r="C967" s="67"/>
      <c r="D967" s="67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>
      <c r="A968" s="65"/>
      <c r="B968" s="67"/>
      <c r="C968" s="67"/>
      <c r="D968" s="67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>
      <c r="A969" s="65"/>
      <c r="B969" s="67"/>
      <c r="C969" s="67"/>
      <c r="D969" s="67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>
      <c r="A970" s="65"/>
      <c r="B970" s="67"/>
      <c r="C970" s="67"/>
      <c r="D970" s="67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>
      <c r="A971" s="65"/>
      <c r="B971" s="67"/>
      <c r="C971" s="67"/>
      <c r="D971" s="67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>
      <c r="A972" s="65"/>
      <c r="B972" s="67"/>
      <c r="C972" s="67"/>
      <c r="D972" s="67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>
      <c r="A973" s="65"/>
      <c r="B973" s="67"/>
      <c r="C973" s="67"/>
      <c r="D973" s="67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>
      <c r="A974" s="65"/>
      <c r="B974" s="67"/>
      <c r="C974" s="67"/>
      <c r="D974" s="67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>
      <c r="A975" s="65"/>
      <c r="B975" s="67"/>
      <c r="C975" s="67"/>
      <c r="D975" s="67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>
      <c r="A976" s="65"/>
      <c r="B976" s="67"/>
      <c r="C976" s="67"/>
      <c r="D976" s="67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>
      <c r="A977" s="65"/>
      <c r="B977" s="67"/>
      <c r="C977" s="67"/>
      <c r="D977" s="67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>
      <c r="A978" s="65"/>
      <c r="B978" s="67"/>
      <c r="C978" s="67"/>
      <c r="D978" s="67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>
      <c r="A979" s="65"/>
      <c r="B979" s="67"/>
      <c r="C979" s="67"/>
      <c r="D979" s="67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>
      <c r="A980" s="65"/>
      <c r="B980" s="67"/>
      <c r="C980" s="67"/>
      <c r="D980" s="67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>
      <c r="A981" s="65"/>
      <c r="B981" s="67"/>
      <c r="C981" s="67"/>
      <c r="D981" s="67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>
      <c r="A982" s="65"/>
      <c r="B982" s="67"/>
      <c r="C982" s="67"/>
      <c r="D982" s="67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>
      <c r="A983" s="65"/>
      <c r="B983" s="67"/>
      <c r="C983" s="67"/>
      <c r="D983" s="67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>
      <c r="A984" s="65"/>
      <c r="B984" s="67"/>
      <c r="C984" s="67"/>
      <c r="D984" s="67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>
      <c r="A985" s="65"/>
      <c r="B985" s="67"/>
      <c r="C985" s="67"/>
      <c r="D985" s="67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>
      <c r="A986" s="65"/>
      <c r="B986" s="67"/>
      <c r="C986" s="67"/>
      <c r="D986" s="67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>
      <c r="A987" s="65"/>
      <c r="B987" s="67"/>
      <c r="C987" s="67"/>
      <c r="D987" s="67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>
      <c r="A988" s="65"/>
      <c r="B988" s="67"/>
      <c r="C988" s="67"/>
      <c r="D988" s="67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>
      <c r="A989" s="65"/>
      <c r="B989" s="67"/>
      <c r="C989" s="67"/>
      <c r="D989" s="67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>
      <c r="A990" s="65"/>
      <c r="B990" s="67"/>
      <c r="C990" s="67"/>
      <c r="D990" s="67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>
      <c r="A991" s="65"/>
      <c r="B991" s="67"/>
      <c r="C991" s="67"/>
      <c r="D991" s="67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>
      <c r="A992" s="65"/>
      <c r="B992" s="67"/>
      <c r="C992" s="67"/>
      <c r="D992" s="67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>
      <c r="A993" s="65"/>
      <c r="B993" s="67"/>
      <c r="C993" s="67"/>
      <c r="D993" s="67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>
      <c r="A994" s="65"/>
      <c r="B994" s="67"/>
      <c r="C994" s="67"/>
      <c r="D994" s="67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>
      <c r="A995" s="65"/>
      <c r="B995" s="67"/>
      <c r="C995" s="67"/>
      <c r="D995" s="67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>
      <c r="A996" s="65"/>
      <c r="B996" s="67"/>
      <c r="C996" s="67"/>
      <c r="D996" s="67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  <row r="997">
      <c r="A997" s="65"/>
      <c r="B997" s="67"/>
      <c r="C997" s="67"/>
      <c r="D997" s="67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</row>
    <row r="998">
      <c r="A998" s="65"/>
      <c r="B998" s="67"/>
      <c r="C998" s="67"/>
      <c r="D998" s="67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</row>
    <row r="999">
      <c r="A999" s="65"/>
      <c r="B999" s="67"/>
      <c r="C999" s="67"/>
      <c r="D999" s="67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</row>
    <row r="1000">
      <c r="A1000" s="65"/>
      <c r="B1000" s="67"/>
      <c r="C1000" s="67"/>
      <c r="D1000" s="67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</row>
    <row r="1001">
      <c r="A1001" s="65"/>
      <c r="B1001" s="67"/>
      <c r="C1001" s="67"/>
      <c r="D1001" s="67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</row>
    <row r="1002">
      <c r="A1002" s="65"/>
      <c r="B1002" s="67"/>
      <c r="C1002" s="67"/>
      <c r="D1002" s="67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</row>
    <row r="1003">
      <c r="A1003" s="65"/>
      <c r="B1003" s="67"/>
      <c r="C1003" s="67"/>
      <c r="D1003" s="67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</row>
    <row r="1004">
      <c r="A1004" s="65"/>
      <c r="B1004" s="67"/>
      <c r="C1004" s="67"/>
      <c r="D1004" s="67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</row>
    <row r="1005">
      <c r="A1005" s="65"/>
      <c r="B1005" s="67"/>
      <c r="C1005" s="67"/>
      <c r="D1005" s="67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</row>
    <row r="1006">
      <c r="A1006" s="65"/>
      <c r="B1006" s="67"/>
      <c r="C1006" s="67"/>
      <c r="D1006" s="67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</row>
    <row r="1007">
      <c r="A1007" s="65"/>
      <c r="B1007" s="67"/>
      <c r="C1007" s="67"/>
      <c r="D1007" s="67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</row>
    <row r="1008">
      <c r="A1008" s="65"/>
      <c r="B1008" s="67"/>
      <c r="C1008" s="67"/>
      <c r="D1008" s="67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</row>
    <row r="1009">
      <c r="A1009" s="65"/>
      <c r="B1009" s="67"/>
      <c r="C1009" s="67"/>
      <c r="D1009" s="67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</row>
    <row r="1010">
      <c r="A1010" s="65"/>
      <c r="B1010" s="67"/>
      <c r="C1010" s="67"/>
      <c r="D1010" s="67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</row>
    <row r="1011">
      <c r="A1011" s="65"/>
      <c r="B1011" s="67"/>
      <c r="C1011" s="67"/>
      <c r="D1011" s="67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</row>
    <row r="1012">
      <c r="A1012" s="65"/>
      <c r="B1012" s="67"/>
      <c r="C1012" s="67"/>
      <c r="D1012" s="67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</row>
    <row r="1013">
      <c r="A1013" s="65"/>
      <c r="B1013" s="67"/>
      <c r="C1013" s="67"/>
      <c r="D1013" s="67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</row>
    <row r="1014">
      <c r="A1014" s="65"/>
      <c r="B1014" s="67"/>
      <c r="C1014" s="67"/>
      <c r="D1014" s="67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</row>
    <row r="1015">
      <c r="A1015" s="65"/>
      <c r="B1015" s="67"/>
      <c r="C1015" s="67"/>
      <c r="D1015" s="67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</row>
    <row r="1016">
      <c r="A1016" s="65"/>
      <c r="B1016" s="67"/>
      <c r="C1016" s="67"/>
      <c r="D1016" s="67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</row>
    <row r="1017">
      <c r="A1017" s="65"/>
      <c r="B1017" s="67"/>
      <c r="C1017" s="67"/>
      <c r="D1017" s="67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</row>
    <row r="1018">
      <c r="A1018" s="65"/>
      <c r="B1018" s="67"/>
      <c r="C1018" s="67"/>
      <c r="D1018" s="67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</row>
    <row r="1019">
      <c r="A1019" s="65"/>
      <c r="B1019" s="67"/>
      <c r="C1019" s="67"/>
      <c r="D1019" s="67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  <c r="AA1019" s="42"/>
    </row>
    <row r="1020">
      <c r="A1020" s="65"/>
      <c r="B1020" s="67"/>
      <c r="C1020" s="67"/>
      <c r="D1020" s="67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  <c r="AA1020" s="42"/>
    </row>
    <row r="1021">
      <c r="A1021" s="65"/>
      <c r="B1021" s="67"/>
      <c r="C1021" s="67"/>
      <c r="D1021" s="67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  <c r="AA1021" s="42"/>
    </row>
    <row r="1022">
      <c r="A1022" s="65"/>
      <c r="B1022" s="67"/>
      <c r="C1022" s="67"/>
      <c r="D1022" s="67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</row>
    <row r="1023">
      <c r="A1023" s="65"/>
      <c r="B1023" s="67"/>
      <c r="C1023" s="67"/>
      <c r="D1023" s="67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</row>
    <row r="1024">
      <c r="A1024" s="65"/>
      <c r="B1024" s="67"/>
      <c r="C1024" s="67"/>
      <c r="D1024" s="67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</row>
    <row r="1025">
      <c r="A1025" s="65"/>
      <c r="B1025" s="67"/>
      <c r="C1025" s="67"/>
      <c r="D1025" s="67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</row>
    <row r="1026">
      <c r="A1026" s="65"/>
      <c r="B1026" s="67"/>
      <c r="C1026" s="67"/>
      <c r="D1026" s="67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</row>
    <row r="1027">
      <c r="A1027" s="65"/>
      <c r="B1027" s="67"/>
      <c r="C1027" s="67"/>
      <c r="D1027" s="67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</row>
    <row r="1028">
      <c r="A1028" s="65"/>
      <c r="B1028" s="67"/>
      <c r="C1028" s="67"/>
      <c r="D1028" s="67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  <c r="AA1028" s="42"/>
    </row>
    <row r="1029">
      <c r="A1029" s="65"/>
      <c r="B1029" s="67"/>
      <c r="C1029" s="67"/>
      <c r="D1029" s="67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  <c r="AA1029" s="42"/>
    </row>
    <row r="1030">
      <c r="A1030" s="65"/>
      <c r="B1030" s="67"/>
      <c r="C1030" s="67"/>
      <c r="D1030" s="67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42"/>
      <c r="AA1030" s="42"/>
    </row>
    <row r="1031">
      <c r="A1031" s="65"/>
      <c r="B1031" s="67"/>
      <c r="C1031" s="67"/>
      <c r="D1031" s="67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  <c r="AA1031" s="42"/>
    </row>
    <row r="1032">
      <c r="A1032" s="65"/>
      <c r="B1032" s="67"/>
      <c r="C1032" s="67"/>
      <c r="D1032" s="67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  <c r="AA1032" s="42"/>
    </row>
    <row r="1033">
      <c r="A1033" s="65"/>
      <c r="B1033" s="67"/>
      <c r="C1033" s="67"/>
      <c r="D1033" s="67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</row>
    <row r="1034">
      <c r="A1034" s="65"/>
      <c r="B1034" s="67"/>
      <c r="C1034" s="67"/>
      <c r="D1034" s="67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  <c r="AA1034" s="42"/>
    </row>
    <row r="1035">
      <c r="A1035" s="65"/>
      <c r="B1035" s="67"/>
      <c r="C1035" s="67"/>
      <c r="D1035" s="67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  <c r="AA1035" s="42"/>
    </row>
    <row r="1036">
      <c r="A1036" s="65"/>
      <c r="B1036" s="67"/>
      <c r="C1036" s="67"/>
      <c r="D1036" s="67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  <c r="AA1036" s="42"/>
    </row>
    <row r="1037">
      <c r="A1037" s="65"/>
      <c r="B1037" s="67"/>
      <c r="C1037" s="67"/>
      <c r="D1037" s="67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  <c r="AA1037" s="42"/>
    </row>
    <row r="1038">
      <c r="A1038" s="65"/>
      <c r="B1038" s="67"/>
      <c r="C1038" s="67"/>
      <c r="D1038" s="67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  <c r="AA1038" s="42"/>
    </row>
    <row r="1039">
      <c r="A1039" s="65"/>
      <c r="B1039" s="67"/>
      <c r="C1039" s="67"/>
      <c r="D1039" s="67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42"/>
      <c r="AA1039" s="42"/>
    </row>
    <row r="1040">
      <c r="A1040" s="65"/>
      <c r="B1040" s="67"/>
      <c r="C1040" s="67"/>
      <c r="D1040" s="67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  <c r="Z1040" s="42"/>
      <c r="AA1040" s="42"/>
    </row>
    <row r="1041">
      <c r="A1041" s="65"/>
      <c r="B1041" s="67"/>
      <c r="C1041" s="67"/>
      <c r="D1041" s="67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  <c r="Z1041" s="42"/>
      <c r="AA1041" s="42"/>
    </row>
    <row r="1042">
      <c r="A1042" s="65"/>
      <c r="B1042" s="67"/>
      <c r="C1042" s="67"/>
      <c r="D1042" s="67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  <c r="AA1042" s="42"/>
    </row>
    <row r="1043">
      <c r="A1043" s="65"/>
      <c r="B1043" s="67"/>
      <c r="C1043" s="67"/>
      <c r="D1043" s="67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  <c r="AA1043" s="42"/>
    </row>
    <row r="1044">
      <c r="A1044" s="65"/>
      <c r="B1044" s="67"/>
      <c r="C1044" s="67"/>
      <c r="D1044" s="67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  <c r="AA1044" s="42"/>
    </row>
    <row r="1045">
      <c r="A1045" s="65"/>
      <c r="B1045" s="67"/>
      <c r="C1045" s="67"/>
      <c r="D1045" s="67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</row>
    <row r="1046">
      <c r="A1046" s="65"/>
      <c r="B1046" s="67"/>
      <c r="C1046" s="67"/>
      <c r="D1046" s="67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  <c r="AA1046" s="42"/>
    </row>
    <row r="1047">
      <c r="A1047" s="65"/>
      <c r="B1047" s="67"/>
      <c r="C1047" s="67"/>
      <c r="D1047" s="67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  <c r="AA1047" s="42"/>
    </row>
    <row r="1048">
      <c r="A1048" s="65"/>
      <c r="B1048" s="67"/>
      <c r="C1048" s="67"/>
      <c r="D1048" s="67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  <c r="Z1048" s="42"/>
      <c r="AA1048" s="42"/>
    </row>
    <row r="1049">
      <c r="A1049" s="65"/>
      <c r="B1049" s="67"/>
      <c r="C1049" s="67"/>
      <c r="D1049" s="67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  <c r="Z1049" s="42"/>
      <c r="AA1049" s="42"/>
    </row>
    <row r="1050">
      <c r="A1050" s="65"/>
      <c r="B1050" s="67"/>
      <c r="C1050" s="67"/>
      <c r="D1050" s="67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  <c r="AA1050" s="42"/>
    </row>
    <row r="1051">
      <c r="A1051" s="65"/>
      <c r="B1051" s="67"/>
      <c r="C1051" s="67"/>
      <c r="D1051" s="67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  <c r="Z1051" s="42"/>
      <c r="AA1051" s="42"/>
    </row>
    <row r="1052">
      <c r="A1052" s="65"/>
      <c r="B1052" s="67"/>
      <c r="C1052" s="67"/>
      <c r="D1052" s="67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  <c r="Z1052" s="42"/>
      <c r="AA1052" s="42"/>
    </row>
    <row r="1053">
      <c r="A1053" s="65"/>
      <c r="B1053" s="67"/>
      <c r="C1053" s="67"/>
      <c r="D1053" s="67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  <c r="Z1053" s="42"/>
      <c r="AA1053" s="42"/>
    </row>
    <row r="1054">
      <c r="A1054" s="65"/>
      <c r="B1054" s="67"/>
      <c r="C1054" s="67"/>
      <c r="D1054" s="67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  <c r="Z1054" s="42"/>
      <c r="AA1054" s="42"/>
    </row>
    <row r="1055">
      <c r="A1055" s="65"/>
      <c r="B1055" s="67"/>
      <c r="C1055" s="67"/>
      <c r="D1055" s="67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</row>
    <row r="1056">
      <c r="A1056" s="65"/>
      <c r="B1056" s="67"/>
      <c r="C1056" s="67"/>
      <c r="D1056" s="67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  <c r="AA1056" s="42"/>
    </row>
    <row r="1057">
      <c r="A1057" s="65"/>
      <c r="B1057" s="67"/>
      <c r="C1057" s="67"/>
      <c r="D1057" s="67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  <c r="AA1057" s="42"/>
    </row>
    <row r="1058">
      <c r="A1058" s="65"/>
      <c r="B1058" s="67"/>
      <c r="C1058" s="67"/>
      <c r="D1058" s="67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  <c r="AA1058" s="42"/>
    </row>
    <row r="1059">
      <c r="A1059" s="65"/>
      <c r="B1059" s="67"/>
      <c r="C1059" s="67"/>
      <c r="D1059" s="67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  <c r="AA1059" s="42"/>
    </row>
    <row r="1060">
      <c r="A1060" s="65"/>
      <c r="B1060" s="67"/>
      <c r="C1060" s="67"/>
      <c r="D1060" s="67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  <c r="AA1060" s="42"/>
    </row>
    <row r="1061">
      <c r="A1061" s="65"/>
      <c r="B1061" s="67"/>
      <c r="C1061" s="67"/>
      <c r="D1061" s="67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  <c r="Z1061" s="42"/>
      <c r="AA1061" s="42"/>
    </row>
    <row r="1062">
      <c r="A1062" s="65"/>
      <c r="B1062" s="67"/>
      <c r="C1062" s="67"/>
      <c r="D1062" s="67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  <c r="Z1062" s="42"/>
      <c r="AA1062" s="42"/>
    </row>
    <row r="1063">
      <c r="A1063" s="65"/>
      <c r="B1063" s="67"/>
      <c r="C1063" s="67"/>
      <c r="D1063" s="67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  <c r="Z1063" s="42"/>
      <c r="AA1063" s="42"/>
    </row>
    <row r="1064">
      <c r="A1064" s="65"/>
      <c r="B1064" s="67"/>
      <c r="C1064" s="67"/>
      <c r="D1064" s="67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  <c r="Z1064" s="42"/>
      <c r="AA1064" s="42"/>
    </row>
    <row r="1065">
      <c r="A1065" s="65"/>
      <c r="B1065" s="67"/>
      <c r="C1065" s="67"/>
      <c r="D1065" s="67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  <c r="Z1065" s="42"/>
      <c r="AA1065" s="42"/>
    </row>
    <row r="1066">
      <c r="A1066" s="65"/>
      <c r="B1066" s="67"/>
      <c r="C1066" s="67"/>
      <c r="D1066" s="67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  <c r="Z1066" s="42"/>
      <c r="AA1066" s="42"/>
    </row>
    <row r="1067">
      <c r="A1067" s="65"/>
      <c r="B1067" s="67"/>
      <c r="C1067" s="67"/>
      <c r="D1067" s="67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42"/>
      <c r="AA1067" s="42"/>
    </row>
    <row r="1068">
      <c r="A1068" s="65"/>
      <c r="B1068" s="67"/>
      <c r="C1068" s="67"/>
      <c r="D1068" s="67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  <c r="Z1068" s="42"/>
      <c r="AA1068" s="42"/>
    </row>
    <row r="1069">
      <c r="A1069" s="65"/>
      <c r="B1069" s="67"/>
      <c r="C1069" s="67"/>
      <c r="D1069" s="67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  <c r="Z1069" s="42"/>
      <c r="AA1069" s="42"/>
    </row>
    <row r="1070">
      <c r="A1070" s="65"/>
      <c r="B1070" s="67"/>
      <c r="C1070" s="67"/>
      <c r="D1070" s="67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  <c r="Z1070" s="42"/>
      <c r="AA1070" s="42"/>
    </row>
    <row r="1071">
      <c r="A1071" s="65"/>
      <c r="B1071" s="67"/>
      <c r="C1071" s="67"/>
      <c r="D1071" s="67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  <c r="AA1071" s="42"/>
    </row>
    <row r="1072">
      <c r="A1072" s="65"/>
      <c r="B1072" s="67"/>
      <c r="C1072" s="67"/>
      <c r="D1072" s="67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  <c r="AA1072" s="42"/>
    </row>
    <row r="1073">
      <c r="A1073" s="65"/>
      <c r="B1073" s="67"/>
      <c r="C1073" s="67"/>
      <c r="D1073" s="67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  <c r="AA1073" s="42"/>
    </row>
    <row r="1074">
      <c r="A1074" s="65"/>
      <c r="B1074" s="67"/>
      <c r="C1074" s="67"/>
      <c r="D1074" s="67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  <c r="AA1074" s="42"/>
    </row>
    <row r="1075">
      <c r="A1075" s="65"/>
      <c r="B1075" s="67"/>
      <c r="C1075" s="67"/>
      <c r="D1075" s="67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  <c r="AA1075" s="42"/>
    </row>
    <row r="1076">
      <c r="A1076" s="65"/>
      <c r="B1076" s="67"/>
      <c r="C1076" s="67"/>
      <c r="D1076" s="67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</row>
    <row r="1077">
      <c r="A1077" s="65"/>
      <c r="B1077" s="67"/>
      <c r="C1077" s="67"/>
      <c r="D1077" s="67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  <c r="Z1077" s="42"/>
      <c r="AA1077" s="42"/>
    </row>
    <row r="1078">
      <c r="A1078" s="65"/>
      <c r="B1078" s="67"/>
      <c r="C1078" s="67"/>
      <c r="D1078" s="67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  <c r="Z1078" s="42"/>
      <c r="AA1078" s="42"/>
    </row>
    <row r="1079">
      <c r="A1079" s="65"/>
      <c r="B1079" s="67"/>
      <c r="C1079" s="67"/>
      <c r="D1079" s="67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  <c r="Z1079" s="42"/>
      <c r="AA1079" s="42"/>
    </row>
    <row r="1080">
      <c r="A1080" s="65"/>
      <c r="B1080" s="67"/>
      <c r="C1080" s="67"/>
      <c r="D1080" s="67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  <c r="Z1080" s="42"/>
      <c r="AA1080" s="42"/>
    </row>
    <row r="1081">
      <c r="A1081" s="65"/>
      <c r="B1081" s="67"/>
      <c r="C1081" s="67"/>
      <c r="D1081" s="67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  <c r="Z1081" s="42"/>
      <c r="AA1081" s="42"/>
    </row>
    <row r="1082">
      <c r="A1082" s="65"/>
      <c r="B1082" s="67"/>
      <c r="C1082" s="67"/>
      <c r="D1082" s="67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  <c r="AA1082" s="42"/>
    </row>
    <row r="1083">
      <c r="A1083" s="65"/>
      <c r="B1083" s="67"/>
      <c r="C1083" s="67"/>
      <c r="D1083" s="67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  <c r="AA1083" s="42"/>
    </row>
    <row r="1084">
      <c r="A1084" s="65"/>
      <c r="B1084" s="67"/>
      <c r="C1084" s="67"/>
      <c r="D1084" s="67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  <c r="AA1084" s="42"/>
    </row>
    <row r="1085">
      <c r="A1085" s="65"/>
      <c r="B1085" s="67"/>
      <c r="C1085" s="67"/>
      <c r="D1085" s="67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  <c r="AA1085" s="42"/>
    </row>
    <row r="1086">
      <c r="A1086" s="65"/>
      <c r="B1086" s="67"/>
      <c r="C1086" s="67"/>
      <c r="D1086" s="67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  <c r="AA1086" s="42"/>
    </row>
    <row r="1087">
      <c r="A1087" s="65"/>
      <c r="B1087" s="67"/>
      <c r="C1087" s="67"/>
      <c r="D1087" s="67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  <c r="AA1087" s="42"/>
    </row>
    <row r="1088">
      <c r="A1088" s="65"/>
      <c r="B1088" s="67"/>
      <c r="C1088" s="67"/>
      <c r="D1088" s="67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  <c r="Z1088" s="42"/>
      <c r="AA1088" s="42"/>
    </row>
    <row r="1089">
      <c r="A1089" s="65"/>
      <c r="B1089" s="67"/>
      <c r="C1089" s="67"/>
      <c r="D1089" s="67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  <c r="Z1089" s="42"/>
      <c r="AA1089" s="42"/>
    </row>
    <row r="1090">
      <c r="A1090" s="65"/>
      <c r="B1090" s="67"/>
      <c r="C1090" s="67"/>
      <c r="D1090" s="67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  <c r="Z1090" s="42"/>
      <c r="AA1090" s="42"/>
    </row>
    <row r="1091">
      <c r="A1091" s="65"/>
      <c r="B1091" s="67"/>
      <c r="C1091" s="67"/>
      <c r="D1091" s="67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  <c r="Z1091" s="42"/>
      <c r="AA1091" s="42"/>
    </row>
    <row r="1092">
      <c r="A1092" s="65"/>
      <c r="B1092" s="67"/>
      <c r="C1092" s="67"/>
      <c r="D1092" s="67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42"/>
      <c r="AA1092" s="42"/>
    </row>
    <row r="1093">
      <c r="A1093" s="65"/>
      <c r="B1093" s="67"/>
      <c r="C1093" s="67"/>
      <c r="D1093" s="67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  <c r="AA1093" s="42"/>
    </row>
    <row r="1094">
      <c r="A1094" s="65"/>
      <c r="B1094" s="67"/>
      <c r="C1094" s="67"/>
      <c r="D1094" s="67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  <c r="AA1094" s="42"/>
    </row>
    <row r="1095">
      <c r="A1095" s="65"/>
      <c r="B1095" s="67"/>
      <c r="C1095" s="67"/>
      <c r="D1095" s="67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  <c r="AA1095" s="42"/>
    </row>
    <row r="1096">
      <c r="A1096" s="65"/>
      <c r="B1096" s="67"/>
      <c r="C1096" s="67"/>
      <c r="D1096" s="67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</row>
    <row r="1097">
      <c r="A1097" s="65"/>
      <c r="B1097" s="67"/>
      <c r="C1097" s="67"/>
      <c r="D1097" s="67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  <c r="AA1097" s="42"/>
    </row>
    <row r="1098">
      <c r="A1098" s="65"/>
      <c r="B1098" s="67"/>
      <c r="C1098" s="67"/>
      <c r="D1098" s="67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  <c r="AA1098" s="42"/>
    </row>
    <row r="1099">
      <c r="A1099" s="65"/>
      <c r="B1099" s="67"/>
      <c r="C1099" s="67"/>
      <c r="D1099" s="67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  <c r="AA1099" s="42"/>
    </row>
    <row r="1100">
      <c r="A1100" s="65"/>
      <c r="B1100" s="67"/>
      <c r="C1100" s="67"/>
      <c r="D1100" s="67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  <c r="Z1100" s="42"/>
      <c r="AA1100" s="42"/>
    </row>
    <row r="1101">
      <c r="A1101" s="65"/>
      <c r="B1101" s="67"/>
      <c r="C1101" s="67"/>
      <c r="D1101" s="67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  <c r="Z1101" s="42"/>
      <c r="AA1101" s="42"/>
    </row>
    <row r="1102">
      <c r="A1102" s="65"/>
      <c r="B1102" s="67"/>
      <c r="C1102" s="67"/>
      <c r="D1102" s="67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42"/>
      <c r="AA1102" s="42"/>
    </row>
    <row r="1103">
      <c r="A1103" s="65"/>
      <c r="B1103" s="67"/>
      <c r="C1103" s="67"/>
      <c r="D1103" s="67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  <c r="AA1103" s="42"/>
    </row>
    <row r="1104">
      <c r="A1104" s="65"/>
      <c r="B1104" s="67"/>
      <c r="C1104" s="67"/>
      <c r="D1104" s="67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42"/>
      <c r="AA1104" s="42"/>
    </row>
    <row r="1105">
      <c r="A1105" s="65"/>
      <c r="B1105" s="67"/>
      <c r="C1105" s="67"/>
      <c r="D1105" s="67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42"/>
      <c r="AA1105" s="42"/>
    </row>
    <row r="1106">
      <c r="A1106" s="65"/>
      <c r="B1106" s="67"/>
      <c r="C1106" s="67"/>
      <c r="D1106" s="67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42"/>
      <c r="AA1106" s="42"/>
    </row>
    <row r="1107">
      <c r="A1107" s="65"/>
      <c r="B1107" s="67"/>
      <c r="C1107" s="67"/>
      <c r="D1107" s="67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42"/>
      <c r="AA1107" s="42"/>
    </row>
    <row r="1108">
      <c r="A1108" s="65"/>
      <c r="B1108" s="67"/>
      <c r="C1108" s="67"/>
      <c r="D1108" s="67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  <c r="Z1108" s="42"/>
      <c r="AA1108" s="42"/>
    </row>
    <row r="1109">
      <c r="A1109" s="65"/>
      <c r="B1109" s="67"/>
      <c r="C1109" s="67"/>
      <c r="D1109" s="67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  <c r="Z1109" s="42"/>
      <c r="AA1109" s="42"/>
    </row>
    <row r="1110">
      <c r="A1110" s="65"/>
      <c r="B1110" s="67"/>
      <c r="C1110" s="67"/>
      <c r="D1110" s="67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  <c r="Z1110" s="42"/>
      <c r="AA1110" s="42"/>
    </row>
    <row r="1111">
      <c r="A1111" s="65"/>
      <c r="B1111" s="67"/>
      <c r="C1111" s="67"/>
      <c r="D1111" s="67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  <c r="Z1111" s="42"/>
      <c r="AA1111" s="42"/>
    </row>
    <row r="1112">
      <c r="A1112" s="65"/>
      <c r="B1112" s="67"/>
      <c r="C1112" s="67"/>
      <c r="D1112" s="71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  <c r="Z1112" s="42"/>
      <c r="AA1112" s="42"/>
    </row>
  </sheetData>
  <autoFilter ref="$A$1:$D$1112">
    <sortState ref="A1:D1112">
      <sortCondition ref="D1:D1112"/>
      <sortCondition ref="C1:C1112"/>
      <sortCondition ref="B1:B1112"/>
      <sortCondition ref="A1:A1112"/>
    </sortState>
  </autoFilter>
  <conditionalFormatting sqref="A324">
    <cfRule type="expression" dxfId="0" priority="1">
      <formula>if(B325&gt;0,TRUE,FALSE)</formula>
    </cfRule>
  </conditionalFormatting>
  <conditionalFormatting sqref="A324">
    <cfRule type="expression" dxfId="1" priority="2">
      <formula>if(D325&gt;0,TRUE,FALSE)</formula>
    </cfRule>
  </conditionalFormatting>
  <conditionalFormatting sqref="A324">
    <cfRule type="expression" dxfId="2" priority="3">
      <formula>if(AND((C325&gt;0),(D325=0)),TRUE,FALSE)</formula>
    </cfRule>
  </conditionalFormatting>
  <conditionalFormatting sqref="A2:A323 A326:A1112">
    <cfRule type="expression" dxfId="2" priority="4">
      <formula>if(AND((C2&gt;0),(D2=0)),TRUE,FALSE)</formula>
    </cfRule>
  </conditionalFormatting>
  <conditionalFormatting sqref="A2:A323 A326:A1112">
    <cfRule type="expression" dxfId="1" priority="5">
      <formula>if(D2&gt;0,TRUE,FALSE)</formula>
    </cfRule>
  </conditionalFormatting>
  <conditionalFormatting sqref="A2:A323 A326:A1112">
    <cfRule type="expression" dxfId="0" priority="6">
      <formula>if(B2&gt;0,TRUE,FALSE)</formula>
    </cfRule>
  </conditionalFormatting>
  <drawing r:id="rId1"/>
</worksheet>
</file>