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2-Pascasarjana\SEMESTER 1\METODE KOMPUTASI\"/>
    </mc:Choice>
  </mc:AlternateContent>
  <xr:revisionPtr revIDLastSave="0" documentId="13_ncr:1_{867E107D-8E24-484C-BE6D-6968DD4C2758}" xr6:coauthVersionLast="47" xr6:coauthVersionMax="47" xr10:uidLastSave="{00000000-0000-0000-0000-000000000000}"/>
  <bookViews>
    <workbookView xWindow="-120" yWindow="-120" windowWidth="20730" windowHeight="11160" activeTab="5" xr2:uid="{592D7EB4-FCD1-4D4C-A746-DF85D5AB2092}"/>
  </bookViews>
  <sheets>
    <sheet name="Soal no 1a" sheetId="1" r:id="rId1"/>
    <sheet name="Soal no 1b" sheetId="2" r:id="rId2"/>
    <sheet name="Soal 2a" sheetId="3" r:id="rId3"/>
    <sheet name="Soal 2b" sheetId="4" r:id="rId4"/>
    <sheet name="Soal 3a" sheetId="5" r:id="rId5"/>
    <sheet name="Soal 3b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1" i="6" l="1"/>
  <c r="R62" i="6" s="1"/>
  <c r="Q61" i="6"/>
  <c r="Q62" i="6" s="1"/>
  <c r="P61" i="6"/>
  <c r="P62" i="6" s="1"/>
  <c r="O61" i="6"/>
  <c r="O62" i="6" s="1"/>
  <c r="N61" i="6"/>
  <c r="N62" i="6" s="1"/>
  <c r="M61" i="6"/>
  <c r="M62" i="6" s="1"/>
  <c r="H61" i="6"/>
  <c r="H62" i="6" s="1"/>
  <c r="G61" i="6"/>
  <c r="G62" i="6" s="1"/>
  <c r="F61" i="6"/>
  <c r="F62" i="6" s="1"/>
  <c r="E61" i="6"/>
  <c r="E62" i="6" s="1"/>
  <c r="D61" i="6"/>
  <c r="D62" i="6" s="1"/>
  <c r="C61" i="6"/>
  <c r="C62" i="6" s="1"/>
  <c r="I50" i="6"/>
  <c r="I49" i="6"/>
  <c r="R41" i="6"/>
  <c r="Q41" i="6"/>
  <c r="P41" i="6"/>
  <c r="O41" i="6"/>
  <c r="N41" i="6"/>
  <c r="M41" i="6"/>
  <c r="F41" i="6"/>
  <c r="E41" i="6"/>
  <c r="H40" i="6"/>
  <c r="H41" i="6" s="1"/>
  <c r="G40" i="6"/>
  <c r="G41" i="6" s="1"/>
  <c r="F40" i="6"/>
  <c r="E40" i="6"/>
  <c r="D40" i="6"/>
  <c r="D41" i="6" s="1"/>
  <c r="C40" i="6"/>
  <c r="C41" i="6" s="1"/>
  <c r="I30" i="6"/>
  <c r="I29" i="6"/>
  <c r="M11" i="5" l="1"/>
  <c r="M12" i="5"/>
  <c r="M13" i="5"/>
  <c r="M14" i="5"/>
  <c r="M15" i="5"/>
  <c r="L11" i="5"/>
  <c r="J11" i="5"/>
  <c r="J12" i="5"/>
  <c r="J13" i="5"/>
  <c r="J14" i="5"/>
  <c r="J15" i="5"/>
  <c r="D11" i="5"/>
  <c r="D12" i="5"/>
  <c r="D13" i="5"/>
  <c r="D14" i="5"/>
  <c r="D15" i="5"/>
  <c r="L15" i="5"/>
  <c r="K15" i="5"/>
  <c r="G15" i="5" s="1"/>
  <c r="H15" i="5" s="1"/>
  <c r="L14" i="5"/>
  <c r="K14" i="5"/>
  <c r="G14" i="5" s="1"/>
  <c r="H14" i="5" s="1"/>
  <c r="L13" i="5"/>
  <c r="K13" i="5"/>
  <c r="E13" i="5" s="1"/>
  <c r="F13" i="5" s="1"/>
  <c r="L12" i="5"/>
  <c r="K12" i="5"/>
  <c r="E12" i="5" s="1"/>
  <c r="F12" i="5" s="1"/>
  <c r="K11" i="5"/>
  <c r="G11" i="5" s="1"/>
  <c r="H11" i="5" s="1"/>
  <c r="E11" i="5"/>
  <c r="F11" i="5" s="1"/>
  <c r="E15" i="5" l="1"/>
  <c r="F15" i="5" s="1"/>
  <c r="E14" i="5"/>
  <c r="F14" i="5" s="1"/>
  <c r="G12" i="5"/>
  <c r="H12" i="5" s="1"/>
  <c r="G13" i="5"/>
  <c r="H13" i="5" s="1"/>
  <c r="I28" i="4" l="1"/>
  <c r="J26" i="4"/>
  <c r="F24" i="4" a="1"/>
  <c r="F24" i="4" s="1"/>
  <c r="E14" i="4"/>
  <c r="F14" i="4" s="1"/>
  <c r="G14" i="4"/>
  <c r="E3" i="4"/>
  <c r="F3" i="4" s="1"/>
  <c r="G3" i="4"/>
  <c r="E4" i="4"/>
  <c r="F4" i="4" s="1"/>
  <c r="G4" i="4"/>
  <c r="E5" i="4"/>
  <c r="F5" i="4" s="1"/>
  <c r="G5" i="4"/>
  <c r="E6" i="4"/>
  <c r="F6" i="4" s="1"/>
  <c r="G6" i="4"/>
  <c r="E7" i="4"/>
  <c r="F7" i="4" s="1"/>
  <c r="G7" i="4"/>
  <c r="H7" i="4" s="1"/>
  <c r="E8" i="4"/>
  <c r="F8" i="4" s="1"/>
  <c r="G8" i="4"/>
  <c r="D15" i="4"/>
  <c r="C15" i="4"/>
  <c r="B15" i="4"/>
  <c r="B19" i="4" s="1"/>
  <c r="G13" i="4"/>
  <c r="E13" i="4"/>
  <c r="G12" i="4"/>
  <c r="E12" i="4"/>
  <c r="G11" i="4"/>
  <c r="E11" i="4"/>
  <c r="G10" i="4"/>
  <c r="E10" i="4"/>
  <c r="F10" i="4" s="1"/>
  <c r="G9" i="4"/>
  <c r="E9" i="4"/>
  <c r="C12" i="3"/>
  <c r="C7" i="3"/>
  <c r="D6" i="3" s="1"/>
  <c r="C6" i="3"/>
  <c r="C5" i="3"/>
  <c r="C4" i="3"/>
  <c r="C3" i="3"/>
  <c r="C2" i="3"/>
  <c r="I6" i="4" l="1"/>
  <c r="I10" i="4"/>
  <c r="I14" i="4"/>
  <c r="J14" i="4" s="1"/>
  <c r="L14" i="4" s="1"/>
  <c r="I7" i="4"/>
  <c r="I11" i="4"/>
  <c r="I3" i="4"/>
  <c r="J3" i="4" s="1"/>
  <c r="L3" i="4" s="1"/>
  <c r="I4" i="4"/>
  <c r="J4" i="4" s="1"/>
  <c r="L4" i="4" s="1"/>
  <c r="I8" i="4"/>
  <c r="I12" i="4"/>
  <c r="I5" i="4"/>
  <c r="J5" i="4" s="1"/>
  <c r="L5" i="4" s="1"/>
  <c r="I9" i="4"/>
  <c r="I13" i="4"/>
  <c r="H14" i="4"/>
  <c r="H12" i="4"/>
  <c r="H6" i="4"/>
  <c r="H4" i="4"/>
  <c r="H3" i="4"/>
  <c r="E15" i="4"/>
  <c r="C19" i="4" s="1"/>
  <c r="H5" i="4"/>
  <c r="J6" i="4"/>
  <c r="L6" i="4" s="1"/>
  <c r="J7" i="4"/>
  <c r="L7" i="4" s="1"/>
  <c r="H8" i="4"/>
  <c r="H13" i="4"/>
  <c r="F9" i="4"/>
  <c r="F13" i="4"/>
  <c r="H11" i="4"/>
  <c r="F12" i="4"/>
  <c r="G15" i="4"/>
  <c r="I19" i="4" s="1"/>
  <c r="H10" i="4"/>
  <c r="F11" i="4"/>
  <c r="H9" i="4"/>
  <c r="D2" i="3"/>
  <c r="D4" i="3"/>
  <c r="D3" i="3"/>
  <c r="D5" i="3"/>
  <c r="K4" i="4" l="1"/>
  <c r="K8" i="4"/>
  <c r="K12" i="4"/>
  <c r="K6" i="4"/>
  <c r="K10" i="4"/>
  <c r="K14" i="4"/>
  <c r="K7" i="4"/>
  <c r="K11" i="4"/>
  <c r="K5" i="4"/>
  <c r="K9" i="4"/>
  <c r="K13" i="4"/>
  <c r="K3" i="4"/>
  <c r="B20" i="4"/>
  <c r="H15" i="4"/>
  <c r="E20" i="4" s="1"/>
  <c r="F15" i="4"/>
  <c r="C20" i="4" s="1"/>
  <c r="E19" i="4"/>
  <c r="E2" i="3"/>
  <c r="E4" i="3"/>
  <c r="E5" i="3"/>
  <c r="F4" i="3" s="1"/>
  <c r="E3" i="3"/>
  <c r="B24" i="4" l="1" a="1"/>
  <c r="B24" i="4" s="1"/>
  <c r="J8" i="4"/>
  <c r="L8" i="4" s="1"/>
  <c r="F3" i="3"/>
  <c r="G3" i="3" s="1"/>
  <c r="H2" i="3" s="1"/>
  <c r="G2" i="3"/>
  <c r="F2" i="3"/>
  <c r="J11" i="4" l="1"/>
  <c r="L11" i="4" s="1"/>
  <c r="J9" i="4"/>
  <c r="L9" i="4" s="1"/>
  <c r="J10" i="4"/>
  <c r="L10" i="4" s="1"/>
  <c r="J13" i="4"/>
  <c r="L13" i="4" s="1"/>
  <c r="J12" i="4" l="1"/>
  <c r="L12" i="4" s="1"/>
  <c r="L15" i="4" s="1"/>
  <c r="I22" i="4" s="1"/>
  <c r="K15" i="4" l="1"/>
  <c r="I21" i="4" s="1"/>
  <c r="I24" i="4" s="1"/>
  <c r="F9" i="2"/>
  <c r="E9" i="2"/>
  <c r="L9" i="1"/>
  <c r="L10" i="1"/>
  <c r="L11" i="1"/>
  <c r="L12" i="1"/>
  <c r="L13" i="1"/>
  <c r="M9" i="1"/>
  <c r="M10" i="1"/>
  <c r="M11" i="1"/>
  <c r="M12" i="1"/>
  <c r="M13" i="1"/>
  <c r="N8" i="1"/>
  <c r="D10" i="2" l="1"/>
  <c r="F10" i="2" s="1"/>
  <c r="E10" i="2"/>
  <c r="G10" i="2"/>
  <c r="D11" i="2"/>
  <c r="E11" i="2" l="1"/>
  <c r="F11" i="2"/>
  <c r="G11" i="2"/>
  <c r="D12" i="2"/>
  <c r="E12" i="2" l="1"/>
  <c r="F12" i="2"/>
  <c r="G12" i="2"/>
  <c r="D13" i="2"/>
  <c r="E13" i="2" l="1"/>
  <c r="F13" i="2"/>
  <c r="G13" i="2"/>
  <c r="D14" i="2" l="1"/>
  <c r="E14" i="2"/>
  <c r="F14" i="2"/>
  <c r="G14" i="2"/>
  <c r="D15" i="2" l="1"/>
  <c r="E15" i="2" s="1"/>
  <c r="G15" i="2" l="1"/>
  <c r="F15" i="2"/>
  <c r="D16" i="2" s="1"/>
  <c r="F16" i="2" l="1"/>
  <c r="E16" i="2"/>
  <c r="D17" i="2" s="1"/>
  <c r="G16" i="2"/>
  <c r="E17" i="2" l="1"/>
  <c r="F17" i="2"/>
  <c r="G17" i="2"/>
  <c r="D18" i="2" l="1"/>
  <c r="E18" i="2"/>
  <c r="F18" i="2"/>
  <c r="G18" i="2"/>
  <c r="D19" i="2" l="1"/>
  <c r="E19" i="2" l="1"/>
  <c r="F19" i="2"/>
  <c r="G19" i="2"/>
  <c r="D20" i="2" l="1"/>
  <c r="E20" i="2"/>
  <c r="F20" i="2"/>
  <c r="G20" i="2"/>
  <c r="M8" i="1" l="1"/>
  <c r="L8" i="1"/>
  <c r="H13" i="1"/>
  <c r="F13" i="1"/>
  <c r="H12" i="1"/>
  <c r="I12" i="1" s="1"/>
  <c r="F12" i="1"/>
  <c r="H11" i="1"/>
  <c r="I11" i="1" s="1"/>
  <c r="F11" i="1"/>
  <c r="G11" i="1" s="1"/>
  <c r="H10" i="1"/>
  <c r="F10" i="1"/>
  <c r="G10" i="1" s="1"/>
  <c r="H9" i="1"/>
  <c r="F9" i="1"/>
  <c r="G9" i="1" s="1"/>
  <c r="H8" i="1"/>
  <c r="I8" i="1" s="1"/>
  <c r="F8" i="1"/>
  <c r="G8" i="1" s="1"/>
  <c r="E8" i="1" l="1"/>
  <c r="J8" i="1" s="1"/>
  <c r="E11" i="1"/>
  <c r="N11" i="1" s="1"/>
  <c r="G13" i="1"/>
  <c r="I10" i="1"/>
  <c r="E10" i="1" s="1"/>
  <c r="N10" i="1" s="1"/>
  <c r="G12" i="1"/>
  <c r="E12" i="1" s="1"/>
  <c r="N12" i="1" s="1"/>
  <c r="I9" i="1"/>
  <c r="I13" i="1"/>
  <c r="O12" i="1" l="1"/>
  <c r="J12" i="1"/>
  <c r="J10" i="1"/>
  <c r="E13" i="1"/>
  <c r="N13" i="1" s="1"/>
  <c r="O11" i="1"/>
  <c r="J11" i="1"/>
  <c r="E9" i="1"/>
  <c r="N9" i="1" s="1"/>
  <c r="K8" i="1"/>
  <c r="K12" i="1" l="1"/>
  <c r="J13" i="1"/>
  <c r="O13" i="1"/>
  <c r="O9" i="1"/>
  <c r="J9" i="1"/>
  <c r="O10" i="1"/>
  <c r="K11" i="1"/>
  <c r="K10" i="1"/>
  <c r="K13" i="1" l="1"/>
  <c r="K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<sst xmlns="http://schemas.openxmlformats.org/spreadsheetml/2006/main" count="208" uniqueCount="148">
  <si>
    <t>Bracketing Methode Using False Position</t>
  </si>
  <si>
    <t>i</t>
  </si>
  <si>
    <t>xl</t>
  </si>
  <si>
    <t>xu</t>
  </si>
  <si>
    <t>1/root(xl)</t>
  </si>
  <si>
    <t>1-e^-0,146843.xl</t>
  </si>
  <si>
    <t>1/root(xu)</t>
  </si>
  <si>
    <t>1-e^-0,146843.xu</t>
  </si>
  <si>
    <t>1/root(xr)</t>
  </si>
  <si>
    <t>1-e^-0,146843.xr</t>
  </si>
  <si>
    <t>f(xl)</t>
  </si>
  <si>
    <t>f(xu)</t>
  </si>
  <si>
    <t>er(%)</t>
  </si>
  <si>
    <t>NA</t>
  </si>
  <si>
    <t>f(t)=70e^(−1.5t) +25e^(−0.075t) −9</t>
  </si>
  <si>
    <t>&gt; Untuk mencari nilai ketika c = 9 maka kondisi f(t) = 0</t>
  </si>
  <si>
    <t>t1</t>
  </si>
  <si>
    <t>t2</t>
  </si>
  <si>
    <t>f(t1)</t>
  </si>
  <si>
    <t>f(t2)</t>
  </si>
  <si>
    <t>xt</t>
  </si>
  <si>
    <t>f(xt)</t>
  </si>
  <si>
    <t>Jawab:</t>
  </si>
  <si>
    <t>Jadi waktu yang dibutuhkan untuk mencapai c = 9 adalah</t>
  </si>
  <si>
    <t>Methode Newthon Raphson</t>
  </si>
  <si>
    <t>x</t>
  </si>
  <si>
    <t>g(x)</t>
  </si>
  <si>
    <t>g'(x)</t>
  </si>
  <si>
    <t>err</t>
  </si>
  <si>
    <t>f'(t) = −105e^(−1.5t) −1.875e^(−0.075t)</t>
  </si>
  <si>
    <t>f(x)</t>
  </si>
  <si>
    <t>First Devided</t>
  </si>
  <si>
    <t>Second Devided</t>
  </si>
  <si>
    <t>Third Devided</t>
  </si>
  <si>
    <t>Fourth Devided</t>
  </si>
  <si>
    <t>Fifth devided</t>
  </si>
  <si>
    <t xml:space="preserve">b. </t>
  </si>
  <si>
    <t>Sixth devided</t>
  </si>
  <si>
    <t>a. Karena banyak data 7 maka maksimal untuk pengulangan adalah 6</t>
  </si>
  <si>
    <t>Apabila ingin mencari f(1.5)</t>
  </si>
  <si>
    <t>Order = 6</t>
  </si>
  <si>
    <t>y</t>
  </si>
  <si>
    <t>log(x)</t>
  </si>
  <si>
    <t>log(x)^2</t>
  </si>
  <si>
    <t>log(y)</t>
  </si>
  <si>
    <t>log(x)*log(y)</t>
  </si>
  <si>
    <t>log a + b*log x</t>
  </si>
  <si>
    <t>st</t>
  </si>
  <si>
    <t>sr</t>
  </si>
  <si>
    <t>MATRIX  1 (KIRI)</t>
  </si>
  <si>
    <t xml:space="preserve"> </t>
  </si>
  <si>
    <t>MATRIX 2 (KANAN)</t>
  </si>
  <si>
    <t>Yrata rata</t>
  </si>
  <si>
    <t>St</t>
  </si>
  <si>
    <t>Sr</t>
  </si>
  <si>
    <t>Matrix Inverse</t>
  </si>
  <si>
    <t>log (a) &amp; b</t>
  </si>
  <si>
    <t>log(a)</t>
  </si>
  <si>
    <t>r</t>
  </si>
  <si>
    <t>b</t>
  </si>
  <si>
    <t>a</t>
  </si>
  <si>
    <t>R=aV^(b)</t>
  </si>
  <si>
    <t>R</t>
  </si>
  <si>
    <t>aV^b</t>
  </si>
  <si>
    <t>Jadi Bentuk persamaannya adalah</t>
  </si>
  <si>
    <t>R    =</t>
  </si>
  <si>
    <t>Dan memiliki koefisien korelasi sebesar</t>
  </si>
  <si>
    <t>r     =</t>
  </si>
  <si>
    <t>Yang berarti bentuk tersebut memiliki kualitas fitting yang baik karena mendekati 1</t>
  </si>
  <si>
    <t>a. Titik Maksimum dalam interval dgn Xl = 19 dan Xu = 22</t>
  </si>
  <si>
    <t>iter</t>
  </si>
  <si>
    <t>x1</t>
  </si>
  <si>
    <t>f(x1)</t>
  </si>
  <si>
    <t>x2</t>
  </si>
  <si>
    <t>f(x2)</t>
  </si>
  <si>
    <t>d</t>
  </si>
  <si>
    <t>1-R</t>
  </si>
  <si>
    <t>Err</t>
  </si>
  <si>
    <r>
      <t>y</t>
    </r>
    <r>
      <rPr>
        <vertAlign val="subscript"/>
        <sz val="12"/>
        <color theme="1"/>
        <rFont val="Cambria"/>
        <family val="1"/>
      </rPr>
      <t xml:space="preserve">0 </t>
    </r>
    <r>
      <rPr>
        <sz val="12"/>
        <color theme="1"/>
        <rFont val="Cambria"/>
        <family val="1"/>
      </rPr>
      <t xml:space="preserve">= 0.5 m,  </t>
    </r>
  </si>
  <si>
    <t xml:space="preserve"> v0 = 20 m/det,   </t>
  </si>
  <si>
    <t xml:space="preserve"> g = 9.8 m/det2 ,</t>
  </si>
  <si>
    <t>θ0 = 0.87 radian</t>
  </si>
  <si>
    <t>Kesalahan aproksimasi εa &lt;= 1 %.</t>
  </si>
  <si>
    <t>Ketinggian maksimum ada di titik</t>
  </si>
  <si>
    <t xml:space="preserve">Dengan ketinggian maximum </t>
  </si>
  <si>
    <t>Tobias Mikha Sulistiyo</t>
  </si>
  <si>
    <t>Metode Simpleks</t>
  </si>
  <si>
    <t xml:space="preserve">Maksimalkan fungsi </t>
  </si>
  <si>
    <t>z=8 x1 + 5x2</t>
  </si>
  <si>
    <t xml:space="preserve">Persamaan kendala:        </t>
  </si>
  <si>
    <t>x1 + x2 &lt;= 6</t>
  </si>
  <si>
    <t>9 x1 + 5 x2 &lt;= 45</t>
  </si>
  <si>
    <t>Dengan menggunakan metode simpleks carilah nilai  x1 &amp; x2</t>
  </si>
  <si>
    <t>sehingga memberikan nilai z  yang maksimal.</t>
  </si>
  <si>
    <t>Step 1</t>
  </si>
  <si>
    <t>Penambahan slack variable</t>
  </si>
  <si>
    <t>x1   +</t>
  </si>
  <si>
    <t xml:space="preserve">x2  + </t>
  </si>
  <si>
    <t>S1   +</t>
  </si>
  <si>
    <t>`=     6</t>
  </si>
  <si>
    <t>9 x1   +</t>
  </si>
  <si>
    <t xml:space="preserve">5 x2  + </t>
  </si>
  <si>
    <t>0     +</t>
  </si>
  <si>
    <t>s2</t>
  </si>
  <si>
    <t>`=     45</t>
  </si>
  <si>
    <t>Z= 8x1 + 5x2</t>
  </si>
  <si>
    <t>z-8x1-5x2 = 0</t>
  </si>
  <si>
    <r>
      <t>Pilih Kolom Entering</t>
    </r>
    <r>
      <rPr>
        <sz val="11"/>
        <color theme="1"/>
        <rFont val="Aptos Narrow"/>
        <family val="2"/>
        <scheme val="minor"/>
      </rPr>
      <t>: Kolom dengan koefisien negatif terbesar di baris. Dimana x1(8) kandidat</t>
    </r>
  </si>
  <si>
    <t>Table 1</t>
  </si>
  <si>
    <t>`</t>
  </si>
  <si>
    <t>BASIS</t>
  </si>
  <si>
    <t>Z</t>
  </si>
  <si>
    <t>X1</t>
  </si>
  <si>
    <t>X2</t>
  </si>
  <si>
    <t>S1</t>
  </si>
  <si>
    <t>S2</t>
  </si>
  <si>
    <t>RHS</t>
  </si>
  <si>
    <t>RATIO</t>
  </si>
  <si>
    <t>b0</t>
  </si>
  <si>
    <t>z</t>
  </si>
  <si>
    <t>b1</t>
  </si>
  <si>
    <t>s1</t>
  </si>
  <si>
    <t>b2</t>
  </si>
  <si>
    <t>&gt;Rasio Terkecil</t>
  </si>
  <si>
    <t>Maka b2 / baris ke 2 akan menjadi x1 dan 9 menjadi pivot numbernya</t>
  </si>
  <si>
    <t>perhitungan b untuk nilai selanjutnya</t>
  </si>
  <si>
    <t>b2' = b2/9</t>
  </si>
  <si>
    <t>b1' = b1 - 1*b2'</t>
  </si>
  <si>
    <t>b0' = b0 + 8*b2'</t>
  </si>
  <si>
    <t>b2'</t>
  </si>
  <si>
    <t>b0'</t>
  </si>
  <si>
    <t>b1'</t>
  </si>
  <si>
    <t>table 2</t>
  </si>
  <si>
    <t>-&gt;</t>
  </si>
  <si>
    <t>Karena data z masih memiliki nilai negatif, maka hilangkan nilai negatifnya; 0,444444 menjadi pivot numbernya</t>
  </si>
  <si>
    <t>b1'' = b1' /0,444444444444444</t>
  </si>
  <si>
    <t>b2'' = b2' - (0,555555555555556 *b1'')</t>
  </si>
  <si>
    <t>b0'' = b0' - (-0,555555555555555*b1'')</t>
  </si>
  <si>
    <t>b1''</t>
  </si>
  <si>
    <t>b0''</t>
  </si>
  <si>
    <t>b2''</t>
  </si>
  <si>
    <t>Table 3</t>
  </si>
  <si>
    <t>&gt; Karena seluruh nilai z sudah positif, maka nilai sudah maksimal</t>
  </si>
  <si>
    <t>Max</t>
  </si>
  <si>
    <t>=  41,25</t>
  </si>
  <si>
    <t>Nilai maksimal didapat pada titik</t>
  </si>
  <si>
    <t>=  3,75</t>
  </si>
  <si>
    <t>=  2,25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</si>
</sst>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000000"/>
      <name val="Times New Roman"/>
      <family val="1"/>
    </font>
    <font>
      <sz val="12"/>
      <color theme="1"/>
      <name val="Cambria"/>
      <family val="1"/>
    </font>
    <font>
      <vertAlign val="subscript"/>
      <sz val="12"/>
      <color theme="1"/>
      <name val="Cambria"/>
      <family val="1"/>
    </font>
    <font>
      <sz val="12"/>
      <color theme="1"/>
      <name val="Arial"/>
      <family val="2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0" xfId="0" applyAlignment="1">
      <alignment horizontal="left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right"/>
    </xf>
    <xf numFmtId="0" fontId="0" fillId="0" borderId="6" xfId="0" applyFill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5" xfId="0" applyNumberFormat="1" applyBorder="1"/>
    <xf numFmtId="0" fontId="0" fillId="2" borderId="7" xfId="0" applyFill="1" applyBorder="1"/>
    <xf numFmtId="0" fontId="0" fillId="2" borderId="8" xfId="0" applyFill="1" applyBorder="1"/>
    <xf numFmtId="0" fontId="0" fillId="2" borderId="8" xfId="0" applyNumberFormat="1" applyFill="1" applyBorder="1"/>
    <xf numFmtId="0" fontId="0" fillId="2" borderId="9" xfId="0" applyFill="1" applyBorder="1"/>
    <xf numFmtId="0" fontId="0" fillId="2" borderId="5" xfId="0" applyFill="1" applyBorder="1"/>
    <xf numFmtId="0" fontId="0" fillId="0" borderId="5" xfId="0" applyNumberFormat="1" applyFill="1" applyBorder="1"/>
    <xf numFmtId="0" fontId="3" fillId="0" borderId="0" xfId="0" applyFont="1"/>
    <xf numFmtId="0" fontId="2" fillId="0" borderId="5" xfId="0" applyFont="1" applyBorder="1"/>
    <xf numFmtId="0" fontId="0" fillId="0" borderId="10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2" fillId="0" borderId="8" xfId="0" applyFont="1" applyBorder="1"/>
    <xf numFmtId="0" fontId="0" fillId="0" borderId="8" xfId="0" applyBorder="1"/>
    <xf numFmtId="0" fontId="0" fillId="2" borderId="0" xfId="0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4" borderId="5" xfId="0" applyFill="1" applyBorder="1"/>
    <xf numFmtId="0" fontId="1" fillId="2" borderId="5" xfId="0" applyFont="1" applyFill="1" applyBorder="1"/>
    <xf numFmtId="0" fontId="7" fillId="4" borderId="5" xfId="0" applyFont="1" applyFill="1" applyBorder="1"/>
    <xf numFmtId="0" fontId="7" fillId="2" borderId="5" xfId="0" applyFont="1" applyFill="1" applyBorder="1"/>
    <xf numFmtId="0" fontId="0" fillId="0" borderId="0" xfId="0" quotePrefix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7" fillId="0" borderId="5" xfId="0" applyFont="1" applyBorder="1"/>
    <xf numFmtId="0" fontId="0" fillId="5" borderId="5" xfId="0" applyFill="1" applyBorder="1"/>
    <xf numFmtId="0" fontId="7" fillId="5" borderId="5" xfId="0" applyFont="1" applyFill="1" applyBorder="1"/>
    <xf numFmtId="0" fontId="0" fillId="5" borderId="0" xfId="0" applyFill="1"/>
    <xf numFmtId="0" fontId="0" fillId="5" borderId="0" xfId="0" applyFill="1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2237642</xdr:colOff>
      <xdr:row>0</xdr:row>
      <xdr:rowOff>186836</xdr:rowOff>
    </xdr:from>
    <xdr:to>
      <xdr:col>13</xdr:col>
      <xdr:colOff>823136</xdr:colOff>
      <xdr:row>5</xdr:row>
      <xdr:rowOff>41150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ADD8C-4134-4409-8ECE-83380860A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3217" y="186836"/>
          <a:ext cx="2728869" cy="8068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1</xdr:row>
      <xdr:rowOff>114300</xdr:rowOff>
    </xdr:from>
    <xdr:to>
      <xdr:col>8</xdr:col>
      <xdr:colOff>571702</xdr:colOff>
      <xdr:row>4</xdr:row>
      <xdr:rowOff>171538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3DD59A-881A-4CE6-BA2C-E4DF06564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304800"/>
          <a:ext cx="1448002" cy="6287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523876</xdr:colOff>
      <xdr:row>0</xdr:row>
      <xdr:rowOff>57150</xdr:rowOff>
    </xdr:from>
    <xdr:to>
      <xdr:col>17</xdr:col>
      <xdr:colOff>352426</xdr:colOff>
      <xdr:row>5</xdr:row>
      <xdr:rowOff>50473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5681BF-1908-FA1E-8E06-C84EB284E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5026" y="57150"/>
          <a:ext cx="5314950" cy="9934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142875</xdr:rowOff>
    </xdr:from>
    <xdr:to>
      <xdr:col>0</xdr:col>
      <xdr:colOff>3297787</xdr:colOff>
      <xdr:row>18</xdr:row>
      <xdr:rowOff>58615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0E3744-9131-46E3-92A7-0C118BF15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19375"/>
          <a:ext cx="3297787" cy="868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75198</xdr:rowOff>
    </xdr:from>
    <xdr:to>
      <xdr:col>0</xdr:col>
      <xdr:colOff>3425337</xdr:colOff>
      <xdr:row>5</xdr:row>
      <xdr:rowOff>122823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53BA5D-DCA9-17C7-CDF7-2EF4607EF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3191"/>
          <a:ext cx="3425337" cy="7995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156330</xdr:colOff>
      <xdr:row>15</xdr:row>
      <xdr:rowOff>90865</xdr:rowOff>
    </xdr:from>
    <xdr:to>
      <xdr:col>11</xdr:col>
      <xdr:colOff>332014</xdr:colOff>
      <xdr:row>20</xdr:row>
      <xdr:rowOff>48343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14C318-8083-4824-9D7B-CD89DF505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5155" y="3519865"/>
          <a:ext cx="1394884" cy="909978"/>
        </a:xfrm>
        <a:prstGeom prst="rect">
          <a:avLst/>
        </a:prstGeom>
      </xdr:spPr>
    </xdr:pic>
    <xdr:clientData/>
  </xdr:twoCellAnchor>
  <xdr:twoCellAnchor editAs="oneCell">
    <xdr:from>
      <xdr:col>9</xdr:col>
      <xdr:colOff>230868</xdr:colOff>
      <xdr:row>0</xdr:row>
      <xdr:rowOff>136070</xdr:rowOff>
    </xdr:from>
    <xdr:to>
      <xdr:col>15</xdr:col>
      <xdr:colOff>353703</xdr:colOff>
      <xdr:row>8</xdr:row>
      <xdr:rowOff>104774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ADC7F1-3731-4A00-B3D3-4ABAE4D36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9693" y="136070"/>
          <a:ext cx="3780435" cy="1559379"/>
        </a:xfrm>
        <a:prstGeom prst="rect">
          <a:avLst/>
        </a:prstGeom>
      </xdr:spPr>
    </xdr:pic>
    <xdr:clientData/>
  </xdr:twoCellAnchor>
  <xdr:twoCellAnchor editAs="oneCell">
    <xdr:from>
      <xdr:col>13</xdr:col>
      <xdr:colOff>400050</xdr:colOff>
      <xdr:row>9</xdr:row>
      <xdr:rowOff>171450</xdr:rowOff>
    </xdr:from>
    <xdr:to>
      <xdr:col>17</xdr:col>
      <xdr:colOff>409917</xdr:colOff>
      <xdr:row>13</xdr:row>
      <xdr:rowOff>114398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1B2033-2A61-404A-AAB5-4848628AE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77275" y="1885950"/>
          <a:ext cx="2448267" cy="704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48057</xdr:colOff>
      <xdr:row>2</xdr:row>
      <xdr:rowOff>95318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7E827F-4F8B-4E68-AB31-55B7408FC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3096057" cy="485843"/>
        </a:xfrm>
        <a:prstGeom prst="rect">
          <a:avLst/>
        </a:prstGeom>
      </xdr:spPr>
    </xdr:pic>
    <xdr:clientData/>
  </xdr:twoCellAnchor>
  <xdr:twoCellAnchor editAs="oneCell">
    <xdr:from>
      <xdr:col>5</xdr:col>
      <xdr:colOff>447676</xdr:colOff>
      <xdr:row>0</xdr:row>
      <xdr:rowOff>0</xdr:rowOff>
    </xdr:from>
    <xdr:to>
      <xdr:col>8</xdr:col>
      <xdr:colOff>451599</xdr:colOff>
      <xdr:row>8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92FA07C-89B7-41EF-AA73-6B1E98665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95676" y="0"/>
          <a:ext cx="2185148" cy="16668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13DEDF-1DC5-48BA-A853-4C3141D4D188}" name="Table1343" displayName="Table1343" ref="B7:O13" totalsRowShown="0" headerRowDxfId="43" dataDxfId="42" headerRowBorderDxfId="40" tableBorderDxfId="41" totalsRowBorderDxfId="39">
  <autoFilter ref="B7:O13" xr:uid="{FC13DEDF-1DC5-48BA-A853-4C3141D4D188}"/>
  <tableColumns count="14">
    <tableColumn id="1" xr3:uid="{AFF6B537-0D07-465C-AF76-C4F0E960CDB7}" name="i" dataDxfId="38"/>
    <tableColumn id="2" xr3:uid="{5FA30B47-E4A7-454A-9AE5-E805EE245A50}" name="t1" dataDxfId="37"/>
    <tableColumn id="3" xr3:uid="{765F9D69-1BC6-45A7-95F6-5885DD547C28}" name="t2" dataDxfId="36"/>
    <tableColumn id="5" xr3:uid="{9B01B0A7-25A2-4B61-AA80-CAC642E10126}" name="xt" dataDxfId="35">
      <calculatedColumnFormula>Table1343[[#This Row],[t2]]-((Table1343[[#This Row],[f(t2)]]*(Table1343[[#This Row],[t1]]-Table1343[[#This Row],[t2]]))/(Table1343[[#This Row],[f(t1)]]-Table1343[[#This Row],[f(t2)]]))</calculatedColumnFormula>
    </tableColumn>
    <tableColumn id="6" xr3:uid="{AC81A51E-9A59-4B16-BE51-73F7A8BDC894}" name="1/root(xl)" dataDxfId="34">
      <calculatedColumnFormula>1/SQRT(Table1343[[#This Row],[t1]])</calculatedColumnFormula>
    </tableColumn>
    <tableColumn id="7" xr3:uid="{F74C8AEA-8FD4-4C26-976A-7EA28CEABDEB}" name="1-e^-0,146843.xl" dataDxfId="33">
      <calculatedColumnFormula>2*LOG((0.0000015/3.7*(0.005))+(2.51/13743*F8))</calculatedColumnFormula>
    </tableColumn>
    <tableColumn id="8" xr3:uid="{C000AF8F-872C-450A-AD25-CC09B1CEB9F8}" name="1/root(xu)" dataDxfId="32">
      <calculatedColumnFormula>1/SQRT(Table1343[[#This Row],[t2]])</calculatedColumnFormula>
    </tableColumn>
    <tableColumn id="9" xr3:uid="{38BEBECB-B339-4561-9CF7-3E566707D461}" name="1-e^-0,146843.xu" dataDxfId="31">
      <calculatedColumnFormula>2*LOG((0.0000015/3.7*(0.005))+(2.51/13743*H8))</calculatedColumnFormula>
    </tableColumn>
    <tableColumn id="15" xr3:uid="{CC11C502-731E-420D-9BB5-2F027A3604C4}" name="1/root(xr)" dataDxfId="30">
      <calculatedColumnFormula>1/SQRT(Table1343[[#This Row],[xt]])</calculatedColumnFormula>
    </tableColumn>
    <tableColumn id="14" xr3:uid="{AD589CC3-C939-4674-A59B-2B2C7654A379}" name="1-e^-0,146843.xr" dataDxfId="29">
      <calculatedColumnFormula>2*LOG((0.0000015/3.7*(0.005))+(2.51/13743*J8))</calculatedColumnFormula>
    </tableColumn>
    <tableColumn id="10" xr3:uid="{F68E216C-EF56-4FBE-B34C-6261903E96A7}" name="f(t1)" dataDxfId="25">
      <calculatedColumnFormula>70*EXP(-1.5*Table1343[[#This Row],[t1]])+25*EXP(-0.075*Table1343[[#This Row],[t1]])-9</calculatedColumnFormula>
    </tableColumn>
    <tableColumn id="11" xr3:uid="{29619899-41E2-47D8-AC2F-8D8125F89A34}" name="f(t2)" dataDxfId="28">
      <calculatedColumnFormula>70*EXP(-1.5*Table1343[[#This Row],[t2]])+25*EXP(-0.075*Table1343[[#This Row],[t2]])-9</calculatedColumnFormula>
    </tableColumn>
    <tableColumn id="13" xr3:uid="{412AA154-6E96-4118-BCFC-E4B1C4ACF38E}" name="f(xt)" dataDxfId="27">
      <calculatedColumnFormula>70*EXP(-1.5*Table1343[[#This Row],[xt]])+25*EXP(-0.075*Table1343[[#This Row],[xt]])-9</calculatedColumnFormula>
    </tableColumn>
    <tableColumn id="12" xr3:uid="{0B842D80-7FCC-4414-BCB7-383DA1E17781}" name="er(%)" dataDxfId="26">
      <calculatedColumnFormula>ABS((E8-E7)/E8)*100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154A76-3823-478C-9052-142D69CDFF18}" name="Table1" displayName="Table1" ref="C8:G20" totalsRowShown="0" headerRowDxfId="16" headerRowBorderDxfId="23" tableBorderDxfId="24" totalsRowBorderDxfId="22">
  <autoFilter ref="C8:G20" xr:uid="{06154A76-3823-478C-9052-142D69CDFF18}"/>
  <tableColumns count="5">
    <tableColumn id="1" xr3:uid="{32D66B90-8A7C-40D8-A777-EF6F1689D5EB}" name="i" dataDxfId="21"/>
    <tableColumn id="2" xr3:uid="{D5A8F2BE-7A11-4C3B-B73C-B708C5CFA5E4}" name="x" dataDxfId="20">
      <calculatedColumnFormula>D8 - E8/F8</calculatedColumnFormula>
    </tableColumn>
    <tableColumn id="3" xr3:uid="{1FF27EBD-7547-4DF8-8CAE-E00288B59528}" name="g(x)" dataDxfId="19">
      <calculatedColumnFormula>70*EXP(-1.5*Table1[[#This Row],[x]])+25*EXP(-0.075*Table1[[#This Row],[x]])-9</calculatedColumnFormula>
    </tableColumn>
    <tableColumn id="4" xr3:uid="{0D0C519D-A991-49CD-8028-B864768835A0}" name="g'(x)" dataDxfId="18">
      <calculatedColumnFormula>-105*EXP(-1.5*Table1[[#This Row],[x]])-1.1875*EXP(-0.075*Table1[[#This Row],[x]])</calculatedColumnFormula>
    </tableColumn>
    <tableColumn id="5" xr3:uid="{471C0C3A-83B8-40C3-95AB-7960C4E3B797}" name="err" dataDxfId="17">
      <calculatedColumnFormula>ABS((D9 - D8) / D9) * 100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8470EB-ECFB-4A71-8F5F-B5275BDB273C}" name="Table134" displayName="Table134" ref="B2:L15" totalsRowCount="1">
  <autoFilter ref="B2:L14" xr:uid="{F98470EB-ECFB-4A71-8F5F-B5275BDB273C}"/>
  <tableColumns count="11">
    <tableColumn id="1" xr3:uid="{9C973188-EEB2-4F4F-8BBB-B37F88016434}" name="i" totalsRowFunction="count"/>
    <tableColumn id="2" xr3:uid="{E91CA8BC-2BC7-4905-A6BC-64886F173758}" name="x" totalsRowFunction="sum"/>
    <tableColumn id="3" xr3:uid="{D773041F-DE2A-4137-BC70-07495BF16EDA}" name="y" totalsRowFunction="sum"/>
    <tableColumn id="4" xr3:uid="{FCF0AAA1-D80D-4B81-A6A7-8FF24A71C960}" name="log(x)" totalsRowFunction="sum" dataDxfId="15">
      <calculatedColumnFormula>LOG(Table134[[#This Row],[x]])</calculatedColumnFormula>
    </tableColumn>
    <tableColumn id="11" xr3:uid="{EC5B0D87-3170-4CF0-A072-89645D37E05B}" name="log(x)^2" totalsRowFunction="sum" dataDxfId="14">
      <calculatedColumnFormula>Table134[[#This Row],[log(x)]]^2</calculatedColumnFormula>
    </tableColumn>
    <tableColumn id="10" xr3:uid="{21381BCC-ADB3-46C2-8115-8445B2060A7D}" name="log(y)" totalsRowFunction="sum" dataDxfId="13">
      <calculatedColumnFormula>LOG(Table134[[#This Row],[y]])</calculatedColumnFormula>
    </tableColumn>
    <tableColumn id="5" xr3:uid="{5CC5890C-82EB-4259-966B-0CFEE843126D}" name="log(x)*log(y)" totalsRowFunction="sum" dataDxfId="12">
      <calculatedColumnFormula>Table134[[#This Row],[log(x)]]*Table134[[#This Row],[log(y)]]</calculatedColumnFormula>
    </tableColumn>
    <tableColumn id="6" xr3:uid="{69CBFC92-F0B4-4C6F-A43B-B659CB1DDD16}" name="log a + b*log x" dataDxfId="11">
      <calculatedColumnFormula>$F$24+$F$25*Table134[[#This Row],[log(x)]]</calculatedColumnFormula>
    </tableColumn>
    <tableColumn id="7" xr3:uid="{B3EE5776-EA45-4A88-A138-51F19033FB45}" name="err" dataDxfId="10">
      <calculatedColumnFormula>G3-I3</calculatedColumnFormula>
    </tableColumn>
    <tableColumn id="8" xr3:uid="{3FDDB9D3-733D-4D46-80B5-84D8C5E41A29}" name="st" totalsRowFunction="sum" dataDxfId="9">
      <calculatedColumnFormula>(G3-$I$19)^2</calculatedColumnFormula>
    </tableColumn>
    <tableColumn id="9" xr3:uid="{7FC0B5F4-7E5D-4AA0-AD63-3B2ED133D513}" name="sr" totalsRowFunction="sum">
      <calculatedColumnFormula>J3^2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103005-3CF9-4ABD-A2FB-1B5064775E9D}" name="Table16" displayName="Table16" ref="B10:M15" totalsRowShown="0">
  <autoFilter ref="B10:M15" xr:uid="{06103005-3CF9-4ABD-A2FB-1B5064775E9D}"/>
  <tableColumns count="12">
    <tableColumn id="1" xr3:uid="{FC709C4F-AE39-44F1-BBC0-2E260B19583D}" name="iter"/>
    <tableColumn id="2" xr3:uid="{EFD153BC-DA95-46B4-8788-3E6A787F52E9}" name="xl"/>
    <tableColumn id="3" xr3:uid="{E88D6478-1C4D-4172-8DBA-A9ADAF19DDD8}" name="f(xl)" dataDxfId="4">
      <calculatedColumnFormula>TAN(0.87)*Table16[[#This Row],[xl]]-((0.98/(2*20^2*COS(0.87)^2))*Table16[[#This Row],[xl]]^2)+0.5</calculatedColumnFormula>
    </tableColumn>
    <tableColumn id="4" xr3:uid="{1D8D79F6-9DAF-4669-8E31-E98656F6381D}" name="x1" dataDxfId="8">
      <calculatedColumnFormula>Table16[[#This Row],[xl]]+Table16[[#This Row],[d]]</calculatedColumnFormula>
    </tableColumn>
    <tableColumn id="5" xr3:uid="{9BB5F90D-2D6E-47B7-ACFD-FF67610955AC}" name="f(x1)" dataDxfId="2">
      <calculatedColumnFormula>TAN(0.87)*Table16[[#This Row],[x1]]-((0.98/(2*20^2*COS(0.87)^2))*Table16[[#This Row],[x1]]^2)+0.5</calculatedColumnFormula>
    </tableColumn>
    <tableColumn id="6" xr3:uid="{052B14DB-C3DA-4189-882C-053D9DC36D23}" name="x2" dataDxfId="7">
      <calculatedColumnFormula>Table16[[#This Row],[xu]]-Table16[[#This Row],[d]]</calculatedColumnFormula>
    </tableColumn>
    <tableColumn id="7" xr3:uid="{B13AC970-5D43-40F7-8B8D-FEDE0AF6E582}" name="f(x2)" dataDxfId="1">
      <calculatedColumnFormula>TAN(0.87)*Table16[[#This Row],[x2]]-((0.98/(2*20^2*COS(0.87)^2))*Table16[[#This Row],[x2]]^2)+0.5</calculatedColumnFormula>
    </tableColumn>
    <tableColumn id="8" xr3:uid="{04A42D8B-97F8-4759-82A9-ED7BA65D5960}" name="xu"/>
    <tableColumn id="9" xr3:uid="{18BA14FA-CE48-4F5F-BFA9-10B5D8CE5E8D}" name="f(xu)" dataDxfId="3">
      <calculatedColumnFormula>TAN(0.87)*Table16[[#This Row],[xu]]-((0.98/(2*20^2*COS(0.87)^2))*Table16[[#This Row],[xu]]^2)+0.5</calculatedColumnFormula>
    </tableColumn>
    <tableColumn id="10" xr3:uid="{E11563E8-2983-49AC-BD63-D760D80E3A7A}" name="d" dataDxfId="6">
      <calculatedColumnFormula>((SQRT(5)-1)/2)*(Table16[[#This Row],[xu]]-Table16[[#This Row],[xl]])</calculatedColumnFormula>
    </tableColumn>
    <tableColumn id="12" xr3:uid="{B8E309DA-FDD1-46F6-B8B9-3E9E9DA9B2EB}" name="1-R" dataDxfId="5">
      <calculatedColumnFormula>1-((SQRT(5)-1)/2)</calculatedColumnFormula>
    </tableColumn>
    <tableColumn id="11" xr3:uid="{AEB99A98-EC66-4855-A99A-EA2E04BCEF36}" name="Err" dataDxfId="0">
      <calculatedColumnFormula>Table16[[#This Row],[1-R]]*((Table16[[#This Row],[xu]]-Table16[[#This Row],[xl]])/Table16[[#This Row],[x2]])*100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F25D-23B3-4883-A54F-EFD5A6AB4F31}">
  <dimension ref="B2:O17"/>
  <sheetViews>
    <sheetView showGridLines="0" workbookViewId="0">
      <selection activeCell="E15" sqref="E15"/>
    </sheetView>
  </sheetViews>
  <sheetFormatPr defaultRowHeight="15" x14ac:dyDescent="0.25"/>
  <cols>
    <col min="2" max="2" width="3.42578125" bestFit="1" customWidth="1"/>
    <col min="3" max="3" width="13.42578125" bestFit="1" customWidth="1"/>
    <col min="4" max="4" width="14.42578125" customWidth="1"/>
    <col min="5" max="5" width="35.28515625" customWidth="1"/>
    <col min="6" max="6" width="13.42578125" hidden="1" customWidth="1"/>
    <col min="7" max="7" width="15.28515625" hidden="1" customWidth="1"/>
    <col min="8" max="8" width="15.140625" hidden="1" customWidth="1"/>
    <col min="9" max="11" width="18" hidden="1" customWidth="1"/>
    <col min="12" max="13" width="13.42578125" bestFit="1" customWidth="1"/>
    <col min="14" max="14" width="13.42578125" customWidth="1"/>
    <col min="15" max="15" width="13.42578125" bestFit="1" customWidth="1"/>
    <col min="25" max="25" width="16.85546875" customWidth="1"/>
  </cols>
  <sheetData>
    <row r="2" spans="2:15" x14ac:dyDescent="0.25">
      <c r="B2" t="s">
        <v>0</v>
      </c>
    </row>
    <row r="4" spans="2:15" ht="15" customHeight="1" x14ac:dyDescent="0.25">
      <c r="C4" s="13" t="s">
        <v>14</v>
      </c>
      <c r="D4" s="13"/>
      <c r="E4" s="13"/>
      <c r="F4" s="13"/>
      <c r="G4" s="13"/>
      <c r="H4" s="13"/>
      <c r="I4" s="13"/>
      <c r="J4" s="13"/>
      <c r="K4" s="13"/>
      <c r="L4" s="13"/>
    </row>
    <row r="5" spans="2:15" x14ac:dyDescent="0.25">
      <c r="C5" t="s">
        <v>15</v>
      </c>
    </row>
    <row r="6" spans="2:15" ht="35.25" customHeight="1" x14ac:dyDescent="0.25"/>
    <row r="7" spans="2:15" x14ac:dyDescent="0.25">
      <c r="B7" s="1" t="s">
        <v>1</v>
      </c>
      <c r="C7" s="2" t="s">
        <v>16</v>
      </c>
      <c r="D7" s="2" t="s">
        <v>17</v>
      </c>
      <c r="E7" s="2" t="s">
        <v>20</v>
      </c>
      <c r="F7" s="3" t="s">
        <v>4</v>
      </c>
      <c r="G7" s="4" t="s">
        <v>5</v>
      </c>
      <c r="H7" s="3" t="s">
        <v>6</v>
      </c>
      <c r="I7" s="4" t="s">
        <v>7</v>
      </c>
      <c r="J7" s="3" t="s">
        <v>8</v>
      </c>
      <c r="K7" s="4" t="s">
        <v>9</v>
      </c>
      <c r="L7" s="2" t="s">
        <v>18</v>
      </c>
      <c r="M7" s="2" t="s">
        <v>19</v>
      </c>
      <c r="N7" s="5" t="s">
        <v>21</v>
      </c>
      <c r="O7" s="5" t="s">
        <v>12</v>
      </c>
    </row>
    <row r="8" spans="2:15" x14ac:dyDescent="0.25">
      <c r="B8" s="6">
        <v>1</v>
      </c>
      <c r="C8" s="7">
        <v>10</v>
      </c>
      <c r="D8" s="7">
        <v>20</v>
      </c>
      <c r="E8" s="8">
        <f>Table1343[[#This Row],[t2]]-((Table1343[[#This Row],[f(t2)]]*(Table1343[[#This Row],[t1]]-Table1343[[#This Row],[t2]]))/(Table1343[[#This Row],[f(t1)]]-Table1343[[#This Row],[f(t2)]]))</f>
        <v>14.508451672644746</v>
      </c>
      <c r="F8" s="7">
        <f>1/SQRT(Table1343[[#This Row],[t1]])</f>
        <v>0.31622776601683794</v>
      </c>
      <c r="G8" s="7">
        <f t="shared" ref="G8:G13" si="0">2*LOG((0.0000015/3.7*(0.005))+(2.51/13743*F8))</f>
        <v>-8.4767851658822018</v>
      </c>
      <c r="H8" s="7">
        <f>1/SQRT(Table1343[[#This Row],[t2]])</f>
        <v>0.22360679774997896</v>
      </c>
      <c r="I8" s="7">
        <f t="shared" ref="I8:I13" si="1">2*LOG((0.0000015/3.7*(0.005))+(2.51/13743*H8))</f>
        <v>-8.7778025349123237</v>
      </c>
      <c r="J8" s="7">
        <f>1/SQRT(Table1343[[#This Row],[xt]])</f>
        <v>0.26253636405841202</v>
      </c>
      <c r="K8" s="7">
        <f t="shared" ref="K8:K13" si="2">2*LOG((0.0000015/3.7*(0.005))+(2.51/13743*J8))</f>
        <v>-8.6383999991313409</v>
      </c>
      <c r="L8" s="7">
        <f>70*EXP(-1.5*Table1343[[#This Row],[t1]])+25*EXP(-0.075*Table1343[[#This Row],[t1]])-9</f>
        <v>2.8091852316878008</v>
      </c>
      <c r="M8" s="7">
        <f>70*EXP(-1.5*Table1343[[#This Row],[t2]])+25*EXP(-0.075*Table1343[[#This Row],[t2]])-9</f>
        <v>-3.4217459962827039</v>
      </c>
      <c r="N8" s="7">
        <f>70*EXP(-1.5*Table1343[[#This Row],[xt]])+25*EXP(-0.075*Table1343[[#This Row],[xt]])-9</f>
        <v>-0.57888744153617111</v>
      </c>
      <c r="O8" s="9" t="s">
        <v>13</v>
      </c>
    </row>
    <row r="9" spans="2:15" x14ac:dyDescent="0.25">
      <c r="B9" s="6">
        <v>2</v>
      </c>
      <c r="C9" s="7">
        <v>10</v>
      </c>
      <c r="D9" s="8">
        <v>14.508451672644746</v>
      </c>
      <c r="E9" s="8">
        <f>Table1343[[#This Row],[t2]]-((Table1343[[#This Row],[f(t2)]]*(Table1343[[#This Row],[t1]]-Table1343[[#This Row],[t2]]))/(Table1343[[#This Row],[f(t1)]]-Table1343[[#This Row],[f(t2)]]))</f>
        <v>13.738135830634395</v>
      </c>
      <c r="F9" s="7">
        <f>1/SQRT(Table1343[[#This Row],[t1]])</f>
        <v>0.31622776601683794</v>
      </c>
      <c r="G9" s="7">
        <f t="shared" si="0"/>
        <v>-8.4767851658822018</v>
      </c>
      <c r="H9" s="7">
        <f>1/SQRT(Table1343[[#This Row],[t2]])</f>
        <v>0.26253636405841202</v>
      </c>
      <c r="I9" s="7">
        <f t="shared" si="1"/>
        <v>-8.6383999991313409</v>
      </c>
      <c r="J9" s="7">
        <f>1/SQRT(Table1343[[#This Row],[xt]])</f>
        <v>0.26979636682396851</v>
      </c>
      <c r="K9" s="7">
        <f t="shared" si="2"/>
        <v>-8.6147077257156059</v>
      </c>
      <c r="L9" s="7">
        <f>70*EXP(-1.5*Table1343[[#This Row],[t1]])+25*EXP(-0.075*Table1343[[#This Row],[t1]])-9</f>
        <v>2.8091852316878008</v>
      </c>
      <c r="M9" s="7">
        <f>70*EXP(-1.5*Table1343[[#This Row],[t2]])+25*EXP(-0.075*Table1343[[#This Row],[t2]])-9</f>
        <v>-0.57888744153617111</v>
      </c>
      <c r="N9" s="7">
        <f>70*EXP(-1.5*Table1343[[#This Row],[xt]])+25*EXP(-0.075*Table1343[[#This Row],[xt]])-9</f>
        <v>-7.8040062581608893E-2</v>
      </c>
      <c r="O9" s="9">
        <f>ABS((E9-E8)/E9)*100</f>
        <v>5.6071351419647444</v>
      </c>
    </row>
    <row r="10" spans="2:15" x14ac:dyDescent="0.25">
      <c r="B10" s="6">
        <v>3</v>
      </c>
      <c r="C10" s="7">
        <v>10</v>
      </c>
      <c r="D10" s="7">
        <v>13.738135830634395</v>
      </c>
      <c r="E10" s="8">
        <f>Table1343[[#This Row],[t2]]-((Table1343[[#This Row],[f(t2)]]*(Table1343[[#This Row],[t1]]-Table1343[[#This Row],[t2]]))/(Table1343[[#This Row],[f(t1)]]-Table1343[[#This Row],[f(t2)]]))</f>
        <v>13.637096138740493</v>
      </c>
      <c r="F10" s="7">
        <f>1/SQRT(Table1343[[#This Row],[t1]])</f>
        <v>0.31622776601683794</v>
      </c>
      <c r="G10" s="7">
        <f t="shared" si="0"/>
        <v>-8.4767851658822018</v>
      </c>
      <c r="H10" s="7">
        <f>1/SQRT(Table1343[[#This Row],[t2]])</f>
        <v>0.26979636682396851</v>
      </c>
      <c r="I10" s="7">
        <f t="shared" si="1"/>
        <v>-8.6147077257156059</v>
      </c>
      <c r="J10" s="7">
        <f>1/SQRT(Table1343[[#This Row],[xt]])</f>
        <v>0.27079400715289254</v>
      </c>
      <c r="K10" s="7">
        <f t="shared" si="2"/>
        <v>-8.6115019535620263</v>
      </c>
      <c r="L10" s="7">
        <f>70*EXP(-1.5*Table1343[[#This Row],[t1]])+25*EXP(-0.075*Table1343[[#This Row],[t1]])-9</f>
        <v>2.8091852316878008</v>
      </c>
      <c r="M10" s="7">
        <f>70*EXP(-1.5*Table1343[[#This Row],[t2]])+25*EXP(-0.075*Table1343[[#This Row],[t2]])-9</f>
        <v>-7.8040062581608893E-2</v>
      </c>
      <c r="N10" s="7">
        <f>70*EXP(-1.5*Table1343[[#This Row],[xt]])+25*EXP(-0.075*Table1343[[#This Row],[xt]])-9</f>
        <v>-1.0172820704990926E-2</v>
      </c>
      <c r="O10" s="9">
        <f t="shared" ref="O10:O13" si="3">ABS((E10-E9)/E10)*100</f>
        <v>0.74091794078408679</v>
      </c>
    </row>
    <row r="11" spans="2:15" x14ac:dyDescent="0.25">
      <c r="B11" s="14">
        <v>4</v>
      </c>
      <c r="C11" s="10">
        <v>10</v>
      </c>
      <c r="D11" s="10">
        <v>13.637096138740493</v>
      </c>
      <c r="E11" s="15">
        <f>Table1343[[#This Row],[t2]]-((Table1343[[#This Row],[f(t2)]]*(Table1343[[#This Row],[t1]]-Table1343[[#This Row],[t2]]))/(Table1343[[#This Row],[f(t1)]]-Table1343[[#This Row],[f(t2)]]))</f>
        <v>13.62397275170747</v>
      </c>
      <c r="F11" s="10">
        <f>1/SQRT(Table1343[[#This Row],[t1]])</f>
        <v>0.31622776601683794</v>
      </c>
      <c r="G11" s="10">
        <f t="shared" si="0"/>
        <v>-8.4767851658822018</v>
      </c>
      <c r="H11" s="10">
        <f>1/SQRT(Table1343[[#This Row],[t2]])</f>
        <v>0.27079400715289254</v>
      </c>
      <c r="I11" s="10">
        <f t="shared" si="1"/>
        <v>-8.6115019535620263</v>
      </c>
      <c r="J11" s="10">
        <f>1/SQRT(Table1343[[#This Row],[xt]])</f>
        <v>0.27092439787110839</v>
      </c>
      <c r="K11" s="10">
        <f t="shared" si="2"/>
        <v>-8.6110838348514989</v>
      </c>
      <c r="L11" s="10">
        <f>70*EXP(-1.5*Table1343[[#This Row],[t1]])+25*EXP(-0.075*Table1343[[#This Row],[t1]])-9</f>
        <v>2.8091852316878008</v>
      </c>
      <c r="M11" s="10">
        <f>70*EXP(-1.5*Table1343[[#This Row],[t2]])+25*EXP(-0.075*Table1343[[#This Row],[t2]])-9</f>
        <v>-1.0172820704990926E-2</v>
      </c>
      <c r="N11" s="10">
        <f>70*EXP(-1.5*Table1343[[#This Row],[xt]])+25*EXP(-0.075*Table1343[[#This Row],[xt]])-9</f>
        <v>-1.3201894654546464E-3</v>
      </c>
      <c r="O11" s="16">
        <f t="shared" si="3"/>
        <v>9.6325699355043162E-2</v>
      </c>
    </row>
    <row r="12" spans="2:15" x14ac:dyDescent="0.25">
      <c r="B12" s="17">
        <v>5</v>
      </c>
      <c r="C12" s="18">
        <v>10</v>
      </c>
      <c r="D12" s="19">
        <v>13.62397275170747</v>
      </c>
      <c r="E12" s="19">
        <f>Table1343[[#This Row],[t2]]-((Table1343[[#This Row],[f(t2)]]*(Table1343[[#This Row],[t1]]-Table1343[[#This Row],[t2]]))/(Table1343[[#This Row],[f(t1)]]-Table1343[[#This Row],[f(t2)]]))</f>
        <v>13.622270449120224</v>
      </c>
      <c r="F12" s="18">
        <f>1/SQRT(Table1343[[#This Row],[t1]])</f>
        <v>0.31622776601683794</v>
      </c>
      <c r="G12" s="18">
        <f t="shared" si="0"/>
        <v>-8.4767851658822018</v>
      </c>
      <c r="H12" s="18">
        <f>1/SQRT(Table1343[[#This Row],[t2]])</f>
        <v>0.27092439787110839</v>
      </c>
      <c r="I12" s="18">
        <f t="shared" si="1"/>
        <v>-8.6110838348514989</v>
      </c>
      <c r="J12" s="18">
        <f>1/SQRT(Table1343[[#This Row],[xt]])</f>
        <v>0.27094132533183479</v>
      </c>
      <c r="K12" s="18">
        <f t="shared" si="2"/>
        <v>-8.6110295689967913</v>
      </c>
      <c r="L12" s="18">
        <f>70*EXP(-1.5*Table1343[[#This Row],[t1]])+25*EXP(-0.075*Table1343[[#This Row],[t1]])-9</f>
        <v>2.8091852316878008</v>
      </c>
      <c r="M12" s="18">
        <f>70*EXP(-1.5*Table1343[[#This Row],[t2]])+25*EXP(-0.075*Table1343[[#This Row],[t2]])-9</f>
        <v>-1.3201894654546464E-3</v>
      </c>
      <c r="N12" s="18">
        <f>70*EXP(-1.5*Table1343[[#This Row],[xt]])+25*EXP(-0.075*Table1343[[#This Row],[xt]])-9</f>
        <v>-1.7123020079701234E-4</v>
      </c>
      <c r="O12" s="20">
        <f t="shared" si="3"/>
        <v>1.2496467410509658E-2</v>
      </c>
    </row>
    <row r="13" spans="2:15" x14ac:dyDescent="0.25">
      <c r="B13" s="17">
        <v>6</v>
      </c>
      <c r="C13" s="18">
        <v>10</v>
      </c>
      <c r="D13" s="18">
        <v>13.622270449120224</v>
      </c>
      <c r="E13" s="19">
        <f>Table1343[[#This Row],[t2]]-((Table1343[[#This Row],[f(t2)]]*(Table1343[[#This Row],[t1]]-Table1343[[#This Row],[t2]]))/(Table1343[[#This Row],[f(t1)]]-Table1343[[#This Row],[f(t2)]]))</f>
        <v>13.622049671833768</v>
      </c>
      <c r="F13" s="18">
        <f>1/SQRT(Table1343[[#This Row],[t1]])</f>
        <v>0.31622776601683794</v>
      </c>
      <c r="G13" s="18">
        <f t="shared" si="0"/>
        <v>-8.4767851658822018</v>
      </c>
      <c r="H13" s="18">
        <f>1/SQRT(Table1343[[#This Row],[t2]])</f>
        <v>0.27094132533183479</v>
      </c>
      <c r="I13" s="18">
        <f t="shared" si="1"/>
        <v>-8.6110295689967913</v>
      </c>
      <c r="J13" s="18">
        <f>1/SQRT(Table1343[[#This Row],[xt]])</f>
        <v>0.27094352094298246</v>
      </c>
      <c r="K13" s="18">
        <f t="shared" si="2"/>
        <v>-8.6110225305807582</v>
      </c>
      <c r="L13" s="18">
        <f>70*EXP(-1.5*Table1343[[#This Row],[t1]])+25*EXP(-0.075*Table1343[[#This Row],[t1]])-9</f>
        <v>2.8091852316878008</v>
      </c>
      <c r="M13" s="18">
        <f>70*EXP(-1.5*Table1343[[#This Row],[t2]])+25*EXP(-0.075*Table1343[[#This Row],[t2]])-9</f>
        <v>-1.7123020079701234E-4</v>
      </c>
      <c r="N13" s="18">
        <f>70*EXP(-1.5*Table1343[[#This Row],[xt]])+25*EXP(-0.075*Table1343[[#This Row],[xt]])-9</f>
        <v>-2.2207104507288022E-5</v>
      </c>
      <c r="O13" s="20">
        <f t="shared" si="3"/>
        <v>1.6207347042104634E-3</v>
      </c>
    </row>
    <row r="15" spans="2:15" x14ac:dyDescent="0.25">
      <c r="C15" t="s">
        <v>22</v>
      </c>
    </row>
    <row r="16" spans="2:15" x14ac:dyDescent="0.25">
      <c r="C16" t="s">
        <v>23</v>
      </c>
    </row>
    <row r="17" spans="3:3" x14ac:dyDescent="0.25">
      <c r="C17" s="10">
        <v>13.637096138740493</v>
      </c>
    </row>
  </sheetData>
  <mergeCells count="1">
    <mergeCell ref="C4:L4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1A0D-3AE3-4682-9E7D-B6C29936FEE7}">
  <dimension ref="C2:L23"/>
  <sheetViews>
    <sheetView showGridLines="0" topLeftCell="A4" workbookViewId="0">
      <selection activeCell="J19" sqref="J19"/>
    </sheetView>
  </sheetViews>
  <sheetFormatPr defaultRowHeight="15" x14ac:dyDescent="0.25"/>
  <sheetData>
    <row r="2" spans="3:12" x14ac:dyDescent="0.25">
      <c r="C2" t="s">
        <v>24</v>
      </c>
    </row>
    <row r="3" spans="3:12" x14ac:dyDescent="0.25">
      <c r="C3" s="13" t="s">
        <v>14</v>
      </c>
      <c r="D3" s="13"/>
      <c r="E3" s="13"/>
      <c r="F3" s="13"/>
      <c r="G3" s="13"/>
      <c r="H3" s="13"/>
      <c r="I3" s="13"/>
      <c r="J3" s="13"/>
      <c r="K3" s="13"/>
      <c r="L3" s="13"/>
    </row>
    <row r="5" spans="3:12" x14ac:dyDescent="0.25">
      <c r="C5" s="13" t="s">
        <v>29</v>
      </c>
      <c r="D5" s="24"/>
      <c r="E5" s="24"/>
      <c r="F5" s="24"/>
      <c r="G5" s="24"/>
      <c r="H5" s="24"/>
      <c r="I5" s="24"/>
      <c r="J5" s="24"/>
    </row>
    <row r="8" spans="3:12" x14ac:dyDescent="0.25">
      <c r="C8" s="12" t="s">
        <v>1</v>
      </c>
      <c r="D8" s="27" t="s">
        <v>25</v>
      </c>
      <c r="E8" s="27" t="s">
        <v>26</v>
      </c>
      <c r="F8" s="27" t="s">
        <v>27</v>
      </c>
      <c r="G8" s="11" t="s">
        <v>28</v>
      </c>
    </row>
    <row r="9" spans="3:12" x14ac:dyDescent="0.25">
      <c r="C9" s="28">
        <v>0</v>
      </c>
      <c r="D9" s="29">
        <v>10</v>
      </c>
      <c r="E9" s="29">
        <f>70*EXP(-1.5*Table1[[#This Row],[x]])+25*EXP(-0.075*Table1[[#This Row],[x]])-9</f>
        <v>2.8091852316878008</v>
      </c>
      <c r="F9" s="29">
        <f>-105*EXP(-1.5*Table1[[#This Row],[x]])-1.1875*EXP(-0.075*Table1[[#This Row],[x]])</f>
        <v>-0.56096740112360766</v>
      </c>
      <c r="G9" s="30">
        <v>100</v>
      </c>
    </row>
    <row r="10" spans="3:12" x14ac:dyDescent="0.25">
      <c r="C10" s="28">
        <v>1</v>
      </c>
      <c r="D10" s="29">
        <f>D9 - E9/F9</f>
        <v>15.007751299025671</v>
      </c>
      <c r="E10" s="29">
        <f>70*EXP(-1.5*Table1[[#This Row],[x]])+25*EXP(-0.075*Table1[[#This Row],[x]])-9</f>
        <v>-0.88840533000025168</v>
      </c>
      <c r="F10" s="29">
        <f>-105*EXP(-1.5*Table1[[#This Row],[x]])-1.1875*EXP(-0.075*Table1[[#This Row],[x]])</f>
        <v>-0.38530076382850731</v>
      </c>
      <c r="G10" s="30">
        <f>ABS((D10 - D9) / D10) * 100</f>
        <v>33.367765758157134</v>
      </c>
    </row>
    <row r="11" spans="3:12" x14ac:dyDescent="0.25">
      <c r="C11" s="28">
        <v>2</v>
      </c>
      <c r="D11" s="29">
        <f t="shared" ref="D11:D16" si="0">D10 - E10/F10</f>
        <v>12.702006246322712</v>
      </c>
      <c r="E11" s="29">
        <f>70*EXP(-1.5*Table1[[#This Row],[x]])+25*EXP(-0.075*Table1[[#This Row],[x]])-9</f>
        <v>0.64293376668157798</v>
      </c>
      <c r="F11" s="29">
        <f>-105*EXP(-1.5*Table1[[#This Row],[x]])-1.1875*EXP(-0.075*Table1[[#This Row],[x]])</f>
        <v>-0.45803989417057539</v>
      </c>
      <c r="G11" s="30">
        <f t="shared" ref="G11:G16" si="1">ABS((D11 - D10) / D11) * 100</f>
        <v>18.15260524982407</v>
      </c>
    </row>
    <row r="12" spans="3:12" x14ac:dyDescent="0.25">
      <c r="C12" s="28">
        <v>3</v>
      </c>
      <c r="D12" s="29">
        <f t="shared" si="0"/>
        <v>14.105669496760342</v>
      </c>
      <c r="E12" s="29">
        <f>70*EXP(-1.5*Table1[[#This Row],[x]])+25*EXP(-0.075*Table1[[#This Row],[x]])-9</f>
        <v>-0.32061548428675479</v>
      </c>
      <c r="F12" s="29">
        <f>-105*EXP(-1.5*Table1[[#This Row],[x]])-1.1875*EXP(-0.075*Table1[[#This Row],[x]])</f>
        <v>-0.41227083029132622</v>
      </c>
      <c r="G12" s="30">
        <f t="shared" si="1"/>
        <v>9.9510572735311129</v>
      </c>
    </row>
    <row r="13" spans="3:12" x14ac:dyDescent="0.25">
      <c r="C13" s="28">
        <v>4</v>
      </c>
      <c r="D13" s="29">
        <f t="shared" si="0"/>
        <v>13.32798778675385</v>
      </c>
      <c r="E13" s="29">
        <f>70*EXP(-1.5*Table1[[#This Row],[x]])+25*EXP(-0.075*Table1[[#This Row],[x]])-9</f>
        <v>0.20067413275041091</v>
      </c>
      <c r="F13" s="29">
        <f>-105*EXP(-1.5*Table1[[#This Row],[x]])-1.1875*EXP(-0.075*Table1[[#This Row],[x]])</f>
        <v>-0.43703223256057572</v>
      </c>
      <c r="G13" s="30">
        <f t="shared" si="1"/>
        <v>5.8349521506869824</v>
      </c>
    </row>
    <row r="14" spans="3:12" x14ac:dyDescent="0.25">
      <c r="C14" s="28">
        <v>5</v>
      </c>
      <c r="D14" s="29">
        <f t="shared" si="0"/>
        <v>13.787162460380689</v>
      </c>
      <c r="E14" s="29">
        <f>70*EXP(-1.5*Table1[[#This Row],[x]])+25*EXP(-0.075*Table1[[#This Row],[x]])-9</f>
        <v>-0.11078584988234219</v>
      </c>
      <c r="F14" s="29">
        <f>-105*EXP(-1.5*Table1[[#This Row],[x]])-1.1875*EXP(-0.075*Table1[[#This Row],[x]])</f>
        <v>-0.42223777822226582</v>
      </c>
      <c r="G14" s="30">
        <f t="shared" si="1"/>
        <v>3.3304508810013691</v>
      </c>
    </row>
    <row r="15" spans="3:12" x14ac:dyDescent="0.25">
      <c r="C15" s="31">
        <v>6</v>
      </c>
      <c r="D15" s="32">
        <f t="shared" si="0"/>
        <v>13.524784588015075</v>
      </c>
      <c r="E15" s="32">
        <f>70*EXP(-1.5*Table1[[#This Row],[x]])+25*EXP(-0.075*Table1[[#This Row],[x]])-9</f>
        <v>6.5871628075750976E-2</v>
      </c>
      <c r="F15" s="32">
        <f>-105*EXP(-1.5*Table1[[#This Row],[x]])-1.1875*EXP(-0.075*Table1[[#This Row],[x]])</f>
        <v>-0.43062905958886782</v>
      </c>
      <c r="G15" s="33">
        <f t="shared" si="1"/>
        <v>1.9399781982340651</v>
      </c>
    </row>
    <row r="16" spans="3:12" x14ac:dyDescent="0.25">
      <c r="C16" s="28">
        <v>7</v>
      </c>
      <c r="D16" s="29">
        <f t="shared" si="0"/>
        <v>13.677750642230368</v>
      </c>
      <c r="E16" s="29">
        <f>70*EXP(-1.5*Table1[[#This Row],[x]])+25*EXP(-0.075*Table1[[#This Row],[x]])-9</f>
        <v>-3.7541851386512448E-2</v>
      </c>
      <c r="F16" s="29">
        <f>-105*EXP(-1.5*Table1[[#This Row],[x]])-1.1875*EXP(-0.075*Table1[[#This Row],[x]])</f>
        <v>-0.42571688707258987</v>
      </c>
      <c r="G16" s="30">
        <f t="shared" si="1"/>
        <v>1.1183567986903247</v>
      </c>
    </row>
    <row r="17" spans="3:7" x14ac:dyDescent="0.25">
      <c r="C17" s="28">
        <v>8</v>
      </c>
      <c r="D17" s="29">
        <f>D16 - E16/F16</f>
        <v>13.589565624143193</v>
      </c>
      <c r="E17" s="34">
        <f>70*EXP(-1.5*Table1[[#This Row],[x]])+25*EXP(-0.075*Table1[[#This Row],[x]])-9</f>
        <v>2.1931207153825127E-2</v>
      </c>
      <c r="F17" s="34">
        <f>-105*EXP(-1.5*Table1[[#This Row],[x]])-1.1875*EXP(-0.075*Table1[[#This Row],[x]])</f>
        <v>-0.42854187503328939</v>
      </c>
      <c r="G17" s="30">
        <f>ABS((D17 - D16) / D17) * 100</f>
        <v>0.64891712160767068</v>
      </c>
    </row>
    <row r="18" spans="3:7" x14ac:dyDescent="0.25">
      <c r="C18" s="28">
        <v>9</v>
      </c>
      <c r="D18" s="29">
        <f>D17 - E17/F17</f>
        <v>13.640741969866983</v>
      </c>
      <c r="E18" s="34">
        <f>70*EXP(-1.5*Table1[[#This Row],[x]])+25*EXP(-0.075*Table1[[#This Row],[x]])-9</f>
        <v>-1.2630639515339936E-2</v>
      </c>
      <c r="F18" s="34">
        <f>-105*EXP(-1.5*Table1[[#This Row],[x]])-1.1875*EXP(-0.075*Table1[[#This Row],[x]])</f>
        <v>-0.42690017677258441</v>
      </c>
      <c r="G18" s="30">
        <f>ABS((D18 - D17) / D18) * 100</f>
        <v>0.37517274233939535</v>
      </c>
    </row>
    <row r="19" spans="3:7" x14ac:dyDescent="0.25">
      <c r="C19" s="31">
        <v>10</v>
      </c>
      <c r="D19" s="32">
        <f>D18 - E18/F18</f>
        <v>13.61115510107993</v>
      </c>
      <c r="E19" s="40">
        <f>70*EXP(-1.5*Table1[[#This Row],[x]])+25*EXP(-0.075*Table1[[#This Row],[x]])-9</f>
        <v>7.3346166682011216E-3</v>
      </c>
      <c r="F19" s="40">
        <f>-105*EXP(-1.5*Table1[[#This Row],[x]])-1.1875*EXP(-0.075*Table1[[#This Row],[x]])</f>
        <v>-0.42784853243822862</v>
      </c>
      <c r="G19" s="33">
        <f>ABS((D19 - D18) / D19) * 100</f>
        <v>0.21737221100878948</v>
      </c>
    </row>
    <row r="20" spans="3:7" x14ac:dyDescent="0.25">
      <c r="C20" s="35">
        <v>11</v>
      </c>
      <c r="D20" s="36">
        <f>D19 - E19/F19</f>
        <v>13.628298122761931</v>
      </c>
      <c r="E20" s="37">
        <f>70*EXP(-1.5*Table1[[#This Row],[x]])+25*EXP(-0.075*Table1[[#This Row],[x]])-9</f>
        <v>-4.2389137804068611E-3</v>
      </c>
      <c r="F20" s="37">
        <f>-105*EXP(-1.5*Table1[[#This Row],[x]])-1.1875*EXP(-0.075*Table1[[#This Row],[x]])</f>
        <v>-0.42729878623483214</v>
      </c>
      <c r="G20" s="38">
        <f>ABS((D20 - D19) / D20) * 100</f>
        <v>0.12578989340839838</v>
      </c>
    </row>
    <row r="22" spans="3:7" x14ac:dyDescent="0.25">
      <c r="C22" t="s">
        <v>23</v>
      </c>
    </row>
    <row r="23" spans="3:7" x14ac:dyDescent="0.25">
      <c r="C23" s="21">
        <v>13.628298122761931</v>
      </c>
    </row>
  </sheetData>
  <mergeCells count="2">
    <mergeCell ref="C3:L3"/>
    <mergeCell ref="C5:J5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98FF-B0EA-4754-945C-AFA321A19E3F}">
  <dimension ref="A1:Q12"/>
  <sheetViews>
    <sheetView showGridLines="0" workbookViewId="0">
      <selection activeCell="H10" sqref="H10"/>
    </sheetView>
  </sheetViews>
  <sheetFormatPr defaultRowHeight="15" x14ac:dyDescent="0.25"/>
  <cols>
    <col min="6" max="6" width="12" bestFit="1" customWidth="1"/>
    <col min="7" max="7" width="14" customWidth="1"/>
  </cols>
  <sheetData>
    <row r="1" spans="1:17" x14ac:dyDescent="0.25">
      <c r="A1" t="s">
        <v>25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37</v>
      </c>
    </row>
    <row r="2" spans="1:17" x14ac:dyDescent="0.25">
      <c r="A2">
        <v>0.1</v>
      </c>
      <c r="B2">
        <v>-5.8948</v>
      </c>
      <c r="C2">
        <f>(B3-B2)/(A3-A2)</f>
        <v>1.2179999999999991</v>
      </c>
      <c r="D2">
        <f>(C3-C2)/(A4-A2)</f>
        <v>0.71933333333333582</v>
      </c>
      <c r="E2">
        <f>(D3-D2)/(A5-A2)</f>
        <v>0.25285714285714095</v>
      </c>
      <c r="F2">
        <f>(E3-E2)/(A6-A2)</f>
        <v>0.16706349206349044</v>
      </c>
      <c r="G2">
        <f>(F3-F2)/(A7-A2)</f>
        <v>1.4791005291005341</v>
      </c>
      <c r="H2">
        <f>(G3-G2)/(A8-A2)</f>
        <v>-4.6339108742912432</v>
      </c>
    </row>
    <row r="3" spans="1:17" ht="18.75" x14ac:dyDescent="0.3">
      <c r="A3">
        <v>0.3</v>
      </c>
      <c r="B3">
        <v>-5.6512000000000002</v>
      </c>
      <c r="C3">
        <f t="shared" ref="C3:C7" si="0">(B4-B3)/(A4-A3)</f>
        <v>1.577666666666667</v>
      </c>
      <c r="D3">
        <f t="shared" ref="D3:D6" si="1">(C4-C3)/(A5-A3)</f>
        <v>0.94690476190476269</v>
      </c>
      <c r="E3">
        <f t="shared" ref="E3" si="2">(D4-D3)/(A6-A3)</f>
        <v>0.45333333333332948</v>
      </c>
      <c r="F3">
        <f>(E4-E3)/(A7-A3)</f>
        <v>2.3857142857142919</v>
      </c>
      <c r="G3">
        <f>(F4-F3)/(A8-A3)</f>
        <v>-7.3253301320528266</v>
      </c>
      <c r="K3" s="41"/>
      <c r="Q3" s="41"/>
    </row>
    <row r="4" spans="1:17" x14ac:dyDescent="0.25">
      <c r="A4">
        <v>0.6</v>
      </c>
      <c r="B4">
        <v>-5.1779000000000002</v>
      </c>
      <c r="C4">
        <f t="shared" si="0"/>
        <v>2.2405000000000008</v>
      </c>
      <c r="D4">
        <f t="shared" si="1"/>
        <v>1.4002380952380922</v>
      </c>
      <c r="E4">
        <f>(D5-D4)/(A7-A4)</f>
        <v>3.554761904761909</v>
      </c>
      <c r="F4">
        <f>(E5-E4)/(A8-A4)</f>
        <v>-10.067346938775513</v>
      </c>
    </row>
    <row r="5" spans="1:17" x14ac:dyDescent="0.25">
      <c r="A5">
        <v>1</v>
      </c>
      <c r="B5">
        <v>-4.2816999999999998</v>
      </c>
      <c r="C5">
        <f t="shared" si="0"/>
        <v>3.2206666666666655</v>
      </c>
      <c r="D5">
        <f t="shared" si="1"/>
        <v>4.955000000000001</v>
      </c>
      <c r="E5">
        <f>(D6-D5)/(A8-A5)</f>
        <v>-10.539523809523809</v>
      </c>
    </row>
    <row r="6" spans="1:17" x14ac:dyDescent="0.25">
      <c r="A6">
        <v>1.3</v>
      </c>
      <c r="B6">
        <v>-3.3155000000000001</v>
      </c>
      <c r="C6">
        <f t="shared" si="0"/>
        <v>6.1936666666666662</v>
      </c>
      <c r="D6">
        <f t="shared" si="1"/>
        <v>-5.5845238095238079</v>
      </c>
    </row>
    <row r="7" spans="1:17" x14ac:dyDescent="0.25">
      <c r="A7">
        <v>1.6</v>
      </c>
      <c r="B7">
        <v>-1.4574</v>
      </c>
      <c r="C7">
        <f t="shared" si="0"/>
        <v>2.2845000000000009</v>
      </c>
      <c r="J7" s="21" t="s">
        <v>38</v>
      </c>
      <c r="K7" s="21"/>
      <c r="L7" s="21"/>
      <c r="M7" s="21"/>
      <c r="N7" s="21"/>
      <c r="O7" s="21"/>
      <c r="P7" s="21"/>
    </row>
    <row r="8" spans="1:17" x14ac:dyDescent="0.25">
      <c r="A8">
        <v>2</v>
      </c>
      <c r="B8">
        <v>-0.54359999999999997</v>
      </c>
      <c r="J8" s="21" t="s">
        <v>40</v>
      </c>
    </row>
    <row r="11" spans="1:17" x14ac:dyDescent="0.25">
      <c r="B11" t="s">
        <v>39</v>
      </c>
    </row>
    <row r="12" spans="1:17" ht="18.75" x14ac:dyDescent="0.3">
      <c r="B12" s="21" t="s">
        <v>36</v>
      </c>
      <c r="C12" s="21">
        <f>B2+(1.5-A2)*C2 + (1.5-A2)*(1.5-A3)*D2 + (1.5-A2)*(1.5-A3)*(1.5-A4)*E2 + (1.5-A2)*(1.5-A3)*(1.5-A4)*(1.5-A5)*F2 + (1.5-A2)*(1.5-A3)*(1.5-A4)*(1.5-A5)*(1.5-A6)*G2+ (1.5-A2)*(1.5-A3)*(1.5-A4)*(1.5-A5)*(1.5-A6)*(1.5-A7)*H2</f>
        <v>-2.1787952675807167</v>
      </c>
      <c r="P12" s="4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FDD1-F316-4BC3-BF94-B1797A847EAB}">
  <dimension ref="A2:L31"/>
  <sheetViews>
    <sheetView showGridLines="0" topLeftCell="A13" zoomScale="101" workbookViewId="0">
      <selection activeCell="A10" sqref="A10"/>
    </sheetView>
  </sheetViews>
  <sheetFormatPr defaultRowHeight="15" x14ac:dyDescent="0.25"/>
  <cols>
    <col min="1" max="1" width="52.42578125" customWidth="1"/>
    <col min="2" max="2" width="8.140625" customWidth="1"/>
    <col min="3" max="3" width="7.5703125" customWidth="1"/>
    <col min="5" max="5" width="10.42578125" customWidth="1"/>
    <col min="8" max="8" width="16.42578125" customWidth="1"/>
    <col min="9" max="9" width="16.85546875" customWidth="1"/>
    <col min="10" max="10" width="16" customWidth="1"/>
  </cols>
  <sheetData>
    <row r="2" spans="1:12" x14ac:dyDescent="0.25">
      <c r="B2" t="s">
        <v>1</v>
      </c>
      <c r="C2" t="s">
        <v>25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28</v>
      </c>
      <c r="K2" t="s">
        <v>47</v>
      </c>
      <c r="L2" t="s">
        <v>48</v>
      </c>
    </row>
    <row r="3" spans="1:12" x14ac:dyDescent="0.25">
      <c r="B3">
        <v>1</v>
      </c>
      <c r="C3">
        <v>0.65</v>
      </c>
      <c r="D3">
        <v>0.23</v>
      </c>
      <c r="E3" s="25">
        <f>LOG(Table134[[#This Row],[x]])</f>
        <v>-0.18708664335714442</v>
      </c>
      <c r="F3" s="25">
        <f>Table134[[#This Row],[log(x)]]^2</f>
        <v>3.5001412122643349E-2</v>
      </c>
      <c r="G3" s="25">
        <f>LOG(Table134[[#This Row],[y]])</f>
        <v>-0.63827216398240705</v>
      </c>
      <c r="H3" s="25">
        <f>Table134[[#This Row],[log(x)]]*Table134[[#This Row],[log(y)]]</f>
        <v>0.11941219670776938</v>
      </c>
      <c r="I3" s="25">
        <f>$F$24+$F$25*Table134[[#This Row],[log(x)]]</f>
        <v>-0.675846064525504</v>
      </c>
      <c r="J3" s="25">
        <f>G3-I3</f>
        <v>3.757390054309695E-2</v>
      </c>
      <c r="K3" s="25">
        <f>(G3-$I$19)^2</f>
        <v>0.6502083148453891</v>
      </c>
      <c r="L3">
        <f>J3^2</f>
        <v>1.4117980020225413E-3</v>
      </c>
    </row>
    <row r="4" spans="1:12" x14ac:dyDescent="0.25">
      <c r="B4">
        <v>2</v>
      </c>
      <c r="C4">
        <v>0.85</v>
      </c>
      <c r="D4">
        <v>0.42</v>
      </c>
      <c r="E4" s="25">
        <f>LOG(Table134[[#This Row],[x]])</f>
        <v>-7.0581074285707285E-2</v>
      </c>
      <c r="F4" s="25">
        <f>Table134[[#This Row],[log(x)]]^2</f>
        <v>4.9816880473245303E-3</v>
      </c>
      <c r="G4" s="25">
        <f>LOG(Table134[[#This Row],[y]])</f>
        <v>-0.37675070960209955</v>
      </c>
      <c r="H4" s="25">
        <f>Table134[[#This Row],[log(x)]]*Table134[[#This Row],[log(y)]]</f>
        <v>2.659146982161872E-2</v>
      </c>
      <c r="I4" s="25">
        <f>$F$24+$F$25*Table134[[#This Row],[log(x)]]</f>
        <v>-0.36326651023129464</v>
      </c>
      <c r="J4" s="25">
        <f>G4-I4</f>
        <v>-1.3484199370804917E-2</v>
      </c>
      <c r="K4" s="25">
        <f t="shared" ref="K4:K14" si="0">(G4-$I$19)^2</f>
        <v>0.2968435443382752</v>
      </c>
      <c r="L4">
        <f>J4^2</f>
        <v>1.8182363267161571E-4</v>
      </c>
    </row>
    <row r="5" spans="1:12" x14ac:dyDescent="0.25">
      <c r="B5">
        <v>3</v>
      </c>
      <c r="C5">
        <v>1.07</v>
      </c>
      <c r="D5">
        <v>0.78</v>
      </c>
      <c r="E5" s="25">
        <f>LOG(Table134[[#This Row],[x]])</f>
        <v>2.9383777685209667E-2</v>
      </c>
      <c r="F5" s="25">
        <f>Table134[[#This Row],[log(x)]]^2</f>
        <v>8.6340639105382555E-4</v>
      </c>
      <c r="G5" s="25">
        <f>LOG(Table134[[#This Row],[y]])</f>
        <v>-0.10790539730951958</v>
      </c>
      <c r="H5" s="25">
        <f>Table134[[#This Row],[log(x)]]*Table134[[#This Row],[log(y)]]</f>
        <v>-3.1706682055771445E-3</v>
      </c>
      <c r="I5" s="25">
        <f>$F$24+$F$25*Table134[[#This Row],[log(x)]]</f>
        <v>-9.506500601825317E-2</v>
      </c>
      <c r="J5" s="25">
        <f>G5-I5</f>
        <v>-1.2840391291266406E-2</v>
      </c>
      <c r="K5" s="25">
        <f t="shared" si="0"/>
        <v>7.6169480572631884E-2</v>
      </c>
      <c r="L5">
        <f>J5^2</f>
        <v>1.6487564851283017E-4</v>
      </c>
    </row>
    <row r="6" spans="1:12" x14ac:dyDescent="0.25">
      <c r="B6">
        <v>4</v>
      </c>
      <c r="C6">
        <v>1.25</v>
      </c>
      <c r="D6">
        <v>1.1599999999999999</v>
      </c>
      <c r="E6" s="25">
        <f>LOG(Table134[[#This Row],[x]])</f>
        <v>9.691001300805642E-2</v>
      </c>
      <c r="F6" s="25">
        <f>Table134[[#This Row],[log(x)]]^2</f>
        <v>9.3915506212216646E-3</v>
      </c>
      <c r="G6" s="25">
        <f>LOG(Table134[[#This Row],[y]])</f>
        <v>6.445798922691845E-2</v>
      </c>
      <c r="H6" s="25">
        <f>Table134[[#This Row],[log(x)]]*Table134[[#This Row],[log(y)]]</f>
        <v>6.2466245744538275E-3</v>
      </c>
      <c r="I6" s="25">
        <f>$F$24+$F$25*Table134[[#This Row],[log(x)]]</f>
        <v>8.610505056023593E-2</v>
      </c>
      <c r="J6" s="25">
        <f>G6-I6</f>
        <v>-2.164706133331748E-2</v>
      </c>
      <c r="K6" s="25">
        <f t="shared" si="0"/>
        <v>1.0738099725086032E-2</v>
      </c>
      <c r="L6">
        <f>J6^2</f>
        <v>4.6859526436840876E-4</v>
      </c>
    </row>
    <row r="7" spans="1:12" x14ac:dyDescent="0.25">
      <c r="B7">
        <v>5</v>
      </c>
      <c r="C7">
        <v>1.29</v>
      </c>
      <c r="D7">
        <v>1.25</v>
      </c>
      <c r="E7" s="25">
        <f>LOG(Table134[[#This Row],[x]])</f>
        <v>0.11058971029924898</v>
      </c>
      <c r="F7" s="25">
        <f>Table134[[#This Row],[log(x)]]^2</f>
        <v>1.2230084024071816E-2</v>
      </c>
      <c r="G7" s="25">
        <f>LOG(Table134[[#This Row],[y]])</f>
        <v>9.691001300805642E-2</v>
      </c>
      <c r="H7" s="25">
        <f>Table134[[#This Row],[log(x)]]*Table134[[#This Row],[log(y)]]</f>
        <v>1.0717250263657409E-2</v>
      </c>
      <c r="I7" s="25">
        <f>$F$24+$F$25*Table134[[#This Row],[log(x)]]</f>
        <v>0.12280710451560339</v>
      </c>
      <c r="J7" s="25">
        <f>G7-I7</f>
        <v>-2.5897091507546974E-2</v>
      </c>
      <c r="K7" s="25">
        <f t="shared" si="0"/>
        <v>5.0655644524891536E-3</v>
      </c>
      <c r="L7">
        <f>J7^2</f>
        <v>6.7065934855026156E-4</v>
      </c>
    </row>
    <row r="8" spans="1:12" x14ac:dyDescent="0.25">
      <c r="B8">
        <v>6</v>
      </c>
      <c r="C8">
        <v>1.41</v>
      </c>
      <c r="D8">
        <v>1.65</v>
      </c>
      <c r="E8" s="25">
        <f>LOG(Table134[[#This Row],[x]])</f>
        <v>0.14921911265537988</v>
      </c>
      <c r="F8" s="25">
        <f>Table134[[#This Row],[log(x)]]^2</f>
        <v>2.2266343581658951E-2</v>
      </c>
      <c r="G8" s="25">
        <f>LOG(Table134[[#This Row],[y]])</f>
        <v>0.21748394421390627</v>
      </c>
      <c r="H8" s="25">
        <f>Table134[[#This Row],[log(x)]]*Table134[[#This Row],[log(y)]]</f>
        <v>3.245276117239123E-2</v>
      </c>
      <c r="I8" s="25">
        <f>$F$24+$F$25*Table134[[#This Row],[log(x)]]</f>
        <v>0.226448170495267</v>
      </c>
      <c r="J8" s="25">
        <f>G8-I8</f>
        <v>-8.9642262813607321E-3</v>
      </c>
      <c r="K8" s="25">
        <f t="shared" si="0"/>
        <v>2.4404738518244038E-3</v>
      </c>
      <c r="L8">
        <f>J8^2</f>
        <v>8.0357352823438464E-5</v>
      </c>
    </row>
    <row r="9" spans="1:12" x14ac:dyDescent="0.25">
      <c r="A9" t="s">
        <v>61</v>
      </c>
      <c r="B9">
        <v>7</v>
      </c>
      <c r="C9">
        <v>1.48</v>
      </c>
      <c r="D9">
        <v>1.88</v>
      </c>
      <c r="E9">
        <f>LOG(Table134[[#This Row],[x]])</f>
        <v>0.17026171539495738</v>
      </c>
      <c r="F9">
        <f>Table134[[#This Row],[log(x)]]^2</f>
        <v>2.8989051729233467E-2</v>
      </c>
      <c r="G9">
        <f>LOG(Table134[[#This Row],[y]])</f>
        <v>0.27415784926367981</v>
      </c>
      <c r="H9">
        <f>Table134[[#This Row],[log(x)]]*Table134[[#This Row],[log(y)]]</f>
        <v>4.6678585704626276E-2</v>
      </c>
      <c r="I9" s="25">
        <f>$F$24+$F$25*Table134[[#This Row],[log(x)]]</f>
        <v>0.28290459088744724</v>
      </c>
      <c r="J9">
        <f t="shared" ref="J9:J12" si="1">G9-I9</f>
        <v>-8.7467416237674289E-3</v>
      </c>
      <c r="K9" s="25">
        <f t="shared" si="0"/>
        <v>1.1251917798750396E-2</v>
      </c>
      <c r="L9">
        <f t="shared" ref="L9:L12" si="2">J9^2</f>
        <v>7.6505489032945676E-5</v>
      </c>
    </row>
    <row r="10" spans="1:12" x14ac:dyDescent="0.25">
      <c r="B10">
        <v>8</v>
      </c>
      <c r="C10">
        <v>1.59</v>
      </c>
      <c r="D10">
        <v>2.33</v>
      </c>
      <c r="E10">
        <f>LOG(Table134[[#This Row],[x]])</f>
        <v>0.20139712432045151</v>
      </c>
      <c r="F10">
        <f>Table134[[#This Row],[log(x)]]^2</f>
        <v>4.0560801684547398E-2</v>
      </c>
      <c r="G10">
        <f>LOG(Table134[[#This Row],[y]])</f>
        <v>0.36735592102601899</v>
      </c>
      <c r="H10">
        <f>Table134[[#This Row],[log(x)]]*Table134[[#This Row],[log(y)]]</f>
        <v>7.3984426096731115E-2</v>
      </c>
      <c r="I10" s="25">
        <f>$F$24+$F$25*Table134[[#This Row],[log(x)]]</f>
        <v>0.36643958687318762</v>
      </c>
      <c r="J10">
        <f t="shared" si="1"/>
        <v>9.1633415283137731E-4</v>
      </c>
      <c r="K10" s="25">
        <f t="shared" si="0"/>
        <v>3.9709779999269175E-2</v>
      </c>
      <c r="L10">
        <f t="shared" si="2"/>
        <v>8.3966827964519792E-7</v>
      </c>
    </row>
    <row r="11" spans="1:12" x14ac:dyDescent="0.25">
      <c r="B11">
        <v>9</v>
      </c>
      <c r="C11">
        <v>1.72</v>
      </c>
      <c r="D11">
        <v>2.89</v>
      </c>
      <c r="E11">
        <f>LOG(Table134[[#This Row],[x]])</f>
        <v>0.2355284469075489</v>
      </c>
      <c r="F11">
        <f>Table134[[#This Row],[log(x)]]^2</f>
        <v>5.5473649302682081E-2</v>
      </c>
      <c r="G11">
        <f>LOG(Table134[[#This Row],[y]])</f>
        <v>0.46089784275654788</v>
      </c>
      <c r="H11">
        <f>Table134[[#This Row],[log(x)]]*Table134[[#This Row],[log(y)]]</f>
        <v>0.1085545530874894</v>
      </c>
      <c r="I11" s="25">
        <f>$F$24+$F$25*Table134[[#This Row],[log(x)]]</f>
        <v>0.45801249353145285</v>
      </c>
      <c r="J11">
        <f t="shared" si="1"/>
        <v>2.8853492250950352E-3</v>
      </c>
      <c r="K11" s="25">
        <f t="shared" si="0"/>
        <v>8.5740654019281645E-2</v>
      </c>
      <c r="L11">
        <f t="shared" si="2"/>
        <v>8.3252401507565204E-6</v>
      </c>
    </row>
    <row r="12" spans="1:12" x14ac:dyDescent="0.25">
      <c r="B12">
        <v>10</v>
      </c>
      <c r="C12">
        <v>1.79</v>
      </c>
      <c r="D12">
        <v>3.29</v>
      </c>
      <c r="E12">
        <f>LOG(Table134[[#This Row],[x]])</f>
        <v>0.2528530309798932</v>
      </c>
      <c r="F12">
        <f>Table134[[#This Row],[log(x)]]^2</f>
        <v>6.393465527571883E-2</v>
      </c>
      <c r="G12">
        <f>LOG(Table134[[#This Row],[y]])</f>
        <v>0.51719589794997434</v>
      </c>
      <c r="H12">
        <f>Table134[[#This Row],[log(x)]]*Table134[[#This Row],[log(y)]]</f>
        <v>0.13077455040701855</v>
      </c>
      <c r="I12" s="25">
        <f>$F$24+$F$25*Table134[[#This Row],[log(x)]]</f>
        <v>0.50449362581402601</v>
      </c>
      <c r="J12">
        <f t="shared" si="1"/>
        <v>1.2702272135948323E-2</v>
      </c>
      <c r="K12" s="25">
        <f t="shared" si="0"/>
        <v>0.12187996082916502</v>
      </c>
      <c r="L12">
        <f t="shared" si="2"/>
        <v>1.6134771741568916E-4</v>
      </c>
    </row>
    <row r="13" spans="1:12" x14ac:dyDescent="0.25">
      <c r="B13">
        <v>11</v>
      </c>
      <c r="C13">
        <v>1.82</v>
      </c>
      <c r="D13">
        <v>3.48</v>
      </c>
      <c r="E13">
        <f>LOG(Table134[[#This Row],[x]])</f>
        <v>0.26007138798507479</v>
      </c>
      <c r="F13">
        <f>Table134[[#This Row],[log(x)]]^2</f>
        <v>6.7637126848483303E-2</v>
      </c>
      <c r="G13">
        <f>LOG(Table134[[#This Row],[y]])</f>
        <v>0.54157924394658097</v>
      </c>
      <c r="H13">
        <f>Table134[[#This Row],[log(x)]]*Table134[[#This Row],[log(y)]]</f>
        <v>0.14084926567709471</v>
      </c>
      <c r="I13" s="25">
        <f>$F$24+$F$25*Table134[[#This Row],[log(x)]]</f>
        <v>0.52386017484167513</v>
      </c>
      <c r="J13">
        <f>G13-I13</f>
        <v>1.7719069104905838E-2</v>
      </c>
      <c r="K13" s="25">
        <f t="shared" si="0"/>
        <v>0.13949959970561759</v>
      </c>
      <c r="L13">
        <f>J13^2</f>
        <v>3.1396540994442859E-4</v>
      </c>
    </row>
    <row r="14" spans="1:12" x14ac:dyDescent="0.25">
      <c r="B14">
        <v>12</v>
      </c>
      <c r="C14">
        <v>1.91</v>
      </c>
      <c r="D14">
        <v>3.98</v>
      </c>
      <c r="E14" s="25">
        <f>LOG(Table134[[#This Row],[x]])</f>
        <v>0.28103336724772754</v>
      </c>
      <c r="F14" s="25">
        <f>Table134[[#This Row],[log(x)]]^2</f>
        <v>7.8979753506596098E-2</v>
      </c>
      <c r="G14" s="25">
        <f>LOG(Table134[[#This Row],[y]])</f>
        <v>0.59988307207368785</v>
      </c>
      <c r="H14" s="25">
        <f>Table134[[#This Row],[log(x)]]*Table134[[#This Row],[log(y)]]</f>
        <v>0.16858715969977972</v>
      </c>
      <c r="I14" s="25">
        <f>$F$24+$F$25*Table134[[#This Row],[log(x)]]</f>
        <v>0.58010028582750128</v>
      </c>
      <c r="J14" s="25">
        <f>G14-I14</f>
        <v>1.9782786246186568E-2</v>
      </c>
      <c r="K14" s="25">
        <f t="shared" si="0"/>
        <v>0.18645148197453085</v>
      </c>
      <c r="L14">
        <f>J14^2</f>
        <v>3.9135863166230841E-4</v>
      </c>
    </row>
    <row r="15" spans="1:12" x14ac:dyDescent="0.25">
      <c r="B15">
        <f>SUBTOTAL(103,Table134[i])</f>
        <v>12</v>
      </c>
      <c r="C15">
        <f>SUBTOTAL(109,Table134[x])</f>
        <v>16.830000000000002</v>
      </c>
      <c r="D15">
        <f>SUBTOTAL(109,Table134[y])</f>
        <v>23.34</v>
      </c>
      <c r="E15">
        <f>SUBTOTAL(109,Table134[log(x)])</f>
        <v>1.5295799688406966</v>
      </c>
      <c r="F15">
        <f>SUBTOTAL(109,Table134[log(x)^2])</f>
        <v>0.42030952313523534</v>
      </c>
      <c r="G15">
        <f>SUBTOTAL(109,Table134[log(y)])</f>
        <v>2.0169935025713448</v>
      </c>
      <c r="H15">
        <f>SUBTOTAL(109,Table134[log(x)*log(y)])</f>
        <v>0.86167817500705324</v>
      </c>
      <c r="K15">
        <f>SUBTOTAL(109,Table134[st])</f>
        <v>1.6259988721123104</v>
      </c>
      <c r="L15">
        <f>SUBTOTAL(109,Table134[sr])</f>
        <v>3.9304514054348694E-3</v>
      </c>
    </row>
    <row r="18" spans="2:10" x14ac:dyDescent="0.25">
      <c r="B18" s="23" t="s">
        <v>49</v>
      </c>
      <c r="C18" s="23"/>
      <c r="D18" t="s">
        <v>50</v>
      </c>
      <c r="E18" t="s">
        <v>51</v>
      </c>
    </row>
    <row r="19" spans="2:10" x14ac:dyDescent="0.25">
      <c r="B19" s="29">
        <f>Table134[[#Totals],[i]]</f>
        <v>12</v>
      </c>
      <c r="C19" s="29">
        <f>Table134[[#Totals],[log(x)]]</f>
        <v>1.5295799688406966</v>
      </c>
      <c r="E19" s="29">
        <f>Table134[[#Totals],[log(y)]]</f>
        <v>2.0169935025713448</v>
      </c>
      <c r="H19" s="42" t="s">
        <v>52</v>
      </c>
      <c r="I19" s="29">
        <f>Table134[[#Totals],[log(y)]]/Table134[[#Totals],[i]]</f>
        <v>0.16808279188094541</v>
      </c>
    </row>
    <row r="20" spans="2:10" x14ac:dyDescent="0.25">
      <c r="B20" s="29">
        <f>Table134[[#Totals],[log(x)]]</f>
        <v>1.5295799688406966</v>
      </c>
      <c r="C20" s="29">
        <f>Table134[[#Totals],[log(x)^2]]</f>
        <v>0.42030952313523534</v>
      </c>
      <c r="E20" s="29">
        <f>Table134[[#Totals],[log(x)*log(y)]]</f>
        <v>0.86167817500705324</v>
      </c>
    </row>
    <row r="21" spans="2:10" x14ac:dyDescent="0.25">
      <c r="H21" s="42" t="s">
        <v>53</v>
      </c>
      <c r="I21" s="29">
        <f>Table134[[#Totals],[st]]</f>
        <v>1.6259988721123104</v>
      </c>
    </row>
    <row r="22" spans="2:10" x14ac:dyDescent="0.25">
      <c r="H22" s="42" t="s">
        <v>54</v>
      </c>
      <c r="I22" s="29">
        <f>Table134[[#Totals],[sr]]</f>
        <v>3.9304514054348694E-3</v>
      </c>
    </row>
    <row r="23" spans="2:10" x14ac:dyDescent="0.25">
      <c r="B23" s="23" t="s">
        <v>55</v>
      </c>
      <c r="C23" s="23"/>
      <c r="E23" s="43" t="s">
        <v>56</v>
      </c>
      <c r="F23" s="43"/>
    </row>
    <row r="24" spans="2:10" x14ac:dyDescent="0.25">
      <c r="B24" s="29" cm="1">
        <f t="array" ref="B24:C25">MINVERSE(B19:C20)</f>
        <v>0.1554341987844077</v>
      </c>
      <c r="C24" s="29">
        <v>-0.565652272544243</v>
      </c>
      <c r="E24" s="29" t="s">
        <v>57</v>
      </c>
      <c r="F24" s="29" cm="1">
        <f t="array" ref="F24:F25">MMULT(_xlfn.ANCHORARRAY(B24),E19:E20)</f>
        <v>-0.17390044886898243</v>
      </c>
      <c r="H24" s="42" t="s">
        <v>58</v>
      </c>
      <c r="I24" s="29">
        <f>SQRT((I21-I22)/I21)</f>
        <v>0.99879064199480405</v>
      </c>
    </row>
    <row r="25" spans="2:10" x14ac:dyDescent="0.25">
      <c r="B25" s="29">
        <v>-0.565652272544243</v>
      </c>
      <c r="C25" s="29">
        <v>4.437706696483195</v>
      </c>
      <c r="E25" s="29" t="s">
        <v>59</v>
      </c>
      <c r="F25" s="29">
        <v>2.682958049005765</v>
      </c>
    </row>
    <row r="26" spans="2:10" x14ac:dyDescent="0.25">
      <c r="H26" s="44" t="s">
        <v>62</v>
      </c>
      <c r="I26" t="s">
        <v>60</v>
      </c>
      <c r="J26">
        <f>EXP(F24)</f>
        <v>0.84038055432897285</v>
      </c>
    </row>
    <row r="27" spans="2:10" x14ac:dyDescent="0.25">
      <c r="H27" s="47" t="s">
        <v>65</v>
      </c>
      <c r="I27" s="48" t="s">
        <v>63</v>
      </c>
    </row>
    <row r="28" spans="2:10" x14ac:dyDescent="0.25">
      <c r="C28" s="45" t="s">
        <v>64</v>
      </c>
      <c r="D28" s="45"/>
      <c r="E28" s="45"/>
      <c r="F28" s="45"/>
      <c r="G28" s="46"/>
      <c r="H28" s="26" t="s">
        <v>65</v>
      </c>
      <c r="I28" s="26" t="str">
        <f>ROUND(J26,3)&amp;"V"&amp;"^"&amp;ROUND(F25,3)</f>
        <v>0,84V^2,683</v>
      </c>
    </row>
    <row r="30" spans="2:10" x14ac:dyDescent="0.25">
      <c r="C30" s="45" t="s">
        <v>66</v>
      </c>
      <c r="D30" s="45"/>
      <c r="E30" s="45"/>
      <c r="F30" s="45"/>
      <c r="G30" s="45"/>
      <c r="H30" s="21" t="s">
        <v>67</v>
      </c>
      <c r="I30" s="21">
        <v>0.99879064199480405</v>
      </c>
    </row>
    <row r="31" spans="2:10" x14ac:dyDescent="0.25">
      <c r="C31" s="49" t="s">
        <v>68</v>
      </c>
      <c r="D31" s="49"/>
      <c r="E31" s="49"/>
      <c r="F31" s="49"/>
      <c r="G31" s="49"/>
      <c r="H31" s="49"/>
      <c r="I31" s="49"/>
    </row>
  </sheetData>
  <mergeCells count="6">
    <mergeCell ref="B18:C18"/>
    <mergeCell ref="B23:C23"/>
    <mergeCell ref="E23:F23"/>
    <mergeCell ref="C28:G28"/>
    <mergeCell ref="C30:G30"/>
    <mergeCell ref="C31:I31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54EC-C8AA-4506-BBDD-6F200727F645}">
  <dimension ref="A2:T20"/>
  <sheetViews>
    <sheetView showGridLines="0" workbookViewId="0">
      <selection activeCell="M11" sqref="M11"/>
    </sheetView>
  </sheetViews>
  <sheetFormatPr defaultRowHeight="15" x14ac:dyDescent="0.25"/>
  <cols>
    <col min="7" max="7" width="14.42578125" customWidth="1"/>
  </cols>
  <sheetData>
    <row r="2" spans="1:20" ht="15.75" customHeight="1" x14ac:dyDescent="0.25">
      <c r="Q2" s="51" t="s">
        <v>82</v>
      </c>
      <c r="R2" s="51"/>
      <c r="S2" s="51"/>
      <c r="T2" s="51"/>
    </row>
    <row r="3" spans="1:20" x14ac:dyDescent="0.25">
      <c r="Q3" s="51"/>
      <c r="R3" s="51"/>
      <c r="S3" s="51"/>
      <c r="T3" s="51"/>
    </row>
    <row r="4" spans="1:20" x14ac:dyDescent="0.25">
      <c r="A4" t="s">
        <v>69</v>
      </c>
      <c r="Q4" s="51"/>
      <c r="R4" s="51"/>
      <c r="S4" s="51"/>
      <c r="T4" s="51"/>
    </row>
    <row r="5" spans="1:20" ht="17.25" x14ac:dyDescent="0.3">
      <c r="A5" s="50" t="s">
        <v>78</v>
      </c>
    </row>
    <row r="6" spans="1:20" ht="17.25" x14ac:dyDescent="0.3">
      <c r="A6" s="50" t="s">
        <v>78</v>
      </c>
    </row>
    <row r="7" spans="1:20" x14ac:dyDescent="0.25">
      <c r="A7" t="s">
        <v>79</v>
      </c>
    </row>
    <row r="8" spans="1:20" x14ac:dyDescent="0.25">
      <c r="A8" t="s">
        <v>80</v>
      </c>
    </row>
    <row r="9" spans="1:20" x14ac:dyDescent="0.25">
      <c r="A9" t="s">
        <v>81</v>
      </c>
    </row>
    <row r="10" spans="1:20" x14ac:dyDescent="0.25">
      <c r="B10" t="s">
        <v>70</v>
      </c>
      <c r="C10" t="s">
        <v>2</v>
      </c>
      <c r="D10" t="s">
        <v>10</v>
      </c>
      <c r="E10" t="s">
        <v>71</v>
      </c>
      <c r="F10" t="s">
        <v>72</v>
      </c>
      <c r="G10" t="s">
        <v>73</v>
      </c>
      <c r="H10" t="s">
        <v>74</v>
      </c>
      <c r="I10" t="s">
        <v>3</v>
      </c>
      <c r="J10" t="s">
        <v>11</v>
      </c>
      <c r="K10" t="s">
        <v>75</v>
      </c>
      <c r="L10" t="s">
        <v>76</v>
      </c>
      <c r="M10" t="s">
        <v>77</v>
      </c>
    </row>
    <row r="11" spans="1:20" x14ac:dyDescent="0.25">
      <c r="B11">
        <v>0</v>
      </c>
      <c r="C11">
        <v>19</v>
      </c>
      <c r="D11">
        <f>TAN(0.87)*Table16[[#This Row],[xl]]-((0.98/(2*20^2*COS(0.87)^2))*Table16[[#This Row],[xl]]^2)+0.5</f>
        <v>21.957623421029172</v>
      </c>
      <c r="E11">
        <f>Table16[[#This Row],[xl]]+Table16[[#This Row],[d]]</f>
        <v>20.854101966249686</v>
      </c>
      <c r="F11">
        <f>TAN(0.87)*Table16[[#This Row],[x1]]-((0.98/(2*20^2*COS(0.87)^2))*Table16[[#This Row],[x1]]^2)+0.5</f>
        <v>23.937637335106587</v>
      </c>
      <c r="G11">
        <f>Table16[[#This Row],[xu]]-Table16[[#This Row],[d]]</f>
        <v>20.145898033750314</v>
      </c>
      <c r="H11">
        <f>TAN(0.87)*Table16[[#This Row],[x2]]-((0.98/(2*20^2*COS(0.87)^2))*Table16[[#This Row],[x2]]^2)+0.5</f>
        <v>23.183730180510171</v>
      </c>
      <c r="I11">
        <v>22</v>
      </c>
      <c r="J11">
        <f>TAN(0.87)*Table16[[#This Row],[xu]]-((0.98/(2*20^2*COS(0.87)^2))*Table16[[#This Row],[xu]]^2)+0.5</f>
        <v>25.151225376623014</v>
      </c>
      <c r="K11">
        <f>((SQRT(5)-1)/2)*(Table16[[#This Row],[xu]]-Table16[[#This Row],[xl]])</f>
        <v>1.8541019662496847</v>
      </c>
      <c r="L11">
        <f>1-((SQRT(5)-1)/2)</f>
        <v>0.3819660112501051</v>
      </c>
      <c r="M11">
        <f>Table16[[#This Row],[1-R]]*((Table16[[#This Row],[xu]]-Table16[[#This Row],[xl]])/Table16[[#This Row],[x2]])*100</f>
        <v>5.6879967913597032</v>
      </c>
    </row>
    <row r="12" spans="1:20" x14ac:dyDescent="0.25">
      <c r="B12">
        <v>1</v>
      </c>
      <c r="C12">
        <v>20.145898033750314</v>
      </c>
      <c r="D12">
        <f>TAN(0.87)*Table16[[#This Row],[xl]]-((0.98/(2*20^2*COS(0.87)^2))*Table16[[#This Row],[xl]]^2)+0.5</f>
        <v>23.183730180510171</v>
      </c>
      <c r="E12">
        <f>Table16[[#This Row],[xl]]+Table16[[#This Row],[d]]</f>
        <v>21.291796067500631</v>
      </c>
      <c r="F12">
        <f>TAN(0.87)*Table16[[#This Row],[x1]]-((0.98/(2*20^2*COS(0.87)^2))*Table16[[#This Row],[x1]]^2)+0.5</f>
        <v>24.402099946793495</v>
      </c>
      <c r="G12">
        <f>Table16[[#This Row],[xu]]-Table16[[#This Row],[d]]</f>
        <v>20.854101966249683</v>
      </c>
      <c r="H12">
        <f>TAN(0.87)*Table16[[#This Row],[x2]]-((0.98/(2*20^2*COS(0.87)^2))*Table16[[#This Row],[x2]]^2)+0.5</f>
        <v>23.937637335106583</v>
      </c>
      <c r="I12">
        <v>22</v>
      </c>
      <c r="J12">
        <f>TAN(0.87)*Table16[[#This Row],[xu]]-((0.98/(2*20^2*COS(0.87)^2))*Table16[[#This Row],[xu]]^2)+0.5</f>
        <v>25.151225376623014</v>
      </c>
      <c r="K12">
        <f>((SQRT(5)-1)/2)*(Table16[[#This Row],[xu]]-Table16[[#This Row],[xl]])</f>
        <v>1.1458980337503168</v>
      </c>
      <c r="L12">
        <f t="shared" ref="L11:L15" si="0">1-((SQRT(5)-1)/2)</f>
        <v>0.3819660112501051</v>
      </c>
      <c r="M12">
        <f>Table16[[#This Row],[1-R]]*((Table16[[#This Row],[xu]]-Table16[[#This Row],[xl]])/Table16[[#This Row],[x2]])*100</f>
        <v>3.3959934292329068</v>
      </c>
    </row>
    <row r="13" spans="1:20" x14ac:dyDescent="0.25">
      <c r="B13">
        <v>2</v>
      </c>
      <c r="C13">
        <v>20.854101966249683</v>
      </c>
      <c r="D13">
        <f>TAN(0.87)*Table16[[#This Row],[xl]]-((0.98/(2*20^2*COS(0.87)^2))*Table16[[#This Row],[xl]]^2)+0.5</f>
        <v>23.937637335106583</v>
      </c>
      <c r="E13">
        <f>Table16[[#This Row],[xl]]+Table16[[#This Row],[d]]</f>
        <v>21.562305898749052</v>
      </c>
      <c r="F13">
        <f>TAN(0.87)*Table16[[#This Row],[x1]]-((0.98/(2*20^2*COS(0.87)^2))*Table16[[#This Row],[x1]]^2)+0.5</f>
        <v>24.68858922127221</v>
      </c>
      <c r="G13">
        <f>Table16[[#This Row],[xu]]-Table16[[#This Row],[d]]</f>
        <v>21.291796067500631</v>
      </c>
      <c r="H13">
        <f>TAN(0.87)*Table16[[#This Row],[x2]]-((0.98/(2*20^2*COS(0.87)^2))*Table16[[#This Row],[x2]]^2)+0.5</f>
        <v>24.402099946793495</v>
      </c>
      <c r="I13">
        <v>22</v>
      </c>
      <c r="J13">
        <f>TAN(0.87)*Table16[[#This Row],[xu]]-((0.98/(2*20^2*COS(0.87)^2))*Table16[[#This Row],[xu]]^2)+0.5</f>
        <v>25.151225376623014</v>
      </c>
      <c r="K13">
        <f>((SQRT(5)-1)/2)*(Table16[[#This Row],[xu]]-Table16[[#This Row],[xl]])</f>
        <v>0.70820393249937019</v>
      </c>
      <c r="L13">
        <f t="shared" si="0"/>
        <v>0.3819660112501051</v>
      </c>
      <c r="M13">
        <f>Table16[[#This Row],[1-R]]*((Table16[[#This Row],[xu]]-Table16[[#This Row],[xl]])/Table16[[#This Row],[x2]])*100</f>
        <v>2.0556936571407163</v>
      </c>
    </row>
    <row r="14" spans="1:20" x14ac:dyDescent="0.25">
      <c r="B14">
        <v>3</v>
      </c>
      <c r="C14">
        <v>21.291796067500631</v>
      </c>
      <c r="D14">
        <f>TAN(0.87)*Table16[[#This Row],[xl]]-((0.98/(2*20^2*COS(0.87)^2))*Table16[[#This Row],[xl]]^2)+0.5</f>
        <v>24.402099946793495</v>
      </c>
      <c r="E14">
        <f>Table16[[#This Row],[xl]]+Table16[[#This Row],[d]]</f>
        <v>21.729490168751578</v>
      </c>
      <c r="F14">
        <f>TAN(0.87)*Table16[[#This Row],[x1]]-((0.98/(2*20^2*COS(0.87)^2))*Table16[[#This Row],[x1]]^2)+0.5</f>
        <v>24.865433746385726</v>
      </c>
      <c r="G14">
        <f>Table16[[#This Row],[xu]]-Table16[[#This Row],[d]]</f>
        <v>21.562305898749052</v>
      </c>
      <c r="H14">
        <f>TAN(0.87)*Table16[[#This Row],[x2]]-((0.98/(2*20^2*COS(0.87)^2))*Table16[[#This Row],[x2]]^2)+0.5</f>
        <v>24.68858922127221</v>
      </c>
      <c r="I14">
        <v>22</v>
      </c>
      <c r="J14">
        <f>TAN(0.87)*Table16[[#This Row],[xu]]-((0.98/(2*20^2*COS(0.87)^2))*Table16[[#This Row],[xu]]^2)+0.5</f>
        <v>25.151225376623014</v>
      </c>
      <c r="K14">
        <f>((SQRT(5)-1)/2)*(Table16[[#This Row],[xu]]-Table16[[#This Row],[xl]])</f>
        <v>0.4376941012509466</v>
      </c>
      <c r="L14">
        <f t="shared" si="0"/>
        <v>0.3819660112501051</v>
      </c>
      <c r="M14">
        <f>Table16[[#This Row],[1-R]]*((Table16[[#This Row],[xu]]-Table16[[#This Row],[xl]])/Table16[[#This Row],[x2]])*100</f>
        <v>1.25454964102015</v>
      </c>
    </row>
    <row r="15" spans="1:20" x14ac:dyDescent="0.25">
      <c r="B15" s="21">
        <v>4</v>
      </c>
      <c r="C15" s="21">
        <v>21.562305898749052</v>
      </c>
      <c r="D15" s="21">
        <f>TAN(0.87)*Table16[[#This Row],[xl]]-((0.98/(2*20^2*COS(0.87)^2))*Table16[[#This Row],[xl]]^2)+0.5</f>
        <v>24.68858922127221</v>
      </c>
      <c r="E15" s="21">
        <f>Table16[[#This Row],[xl]]+Table16[[#This Row],[d]]</f>
        <v>21.832815729997478</v>
      </c>
      <c r="F15" s="21">
        <f>TAN(0.87)*Table16[[#This Row],[x1]]-((0.98/(2*20^2*COS(0.87)^2))*Table16[[#This Row],[x1]]^2)+0.5</f>
        <v>24.974647327897671</v>
      </c>
      <c r="G15" s="21">
        <f>Table16[[#This Row],[xu]]-Table16[[#This Row],[d]]</f>
        <v>21.729490168751575</v>
      </c>
      <c r="H15" s="21">
        <f>TAN(0.87)*Table16[[#This Row],[x2]]-((0.98/(2*20^2*COS(0.87)^2))*Table16[[#This Row],[x2]]^2)+0.5</f>
        <v>24.865433746385722</v>
      </c>
      <c r="I15" s="21">
        <v>22</v>
      </c>
      <c r="J15" s="21">
        <f>TAN(0.87)*Table16[[#This Row],[xu]]-((0.98/(2*20^2*COS(0.87)^2))*Table16[[#This Row],[xu]]^2)+0.5</f>
        <v>25.151225376623014</v>
      </c>
      <c r="K15" s="21">
        <f>((SQRT(5)-1)/2)*(Table16[[#This Row],[xu]]-Table16[[#This Row],[xl]])</f>
        <v>0.27050983124842354</v>
      </c>
      <c r="L15" s="21">
        <f t="shared" si="0"/>
        <v>0.3819660112501051</v>
      </c>
      <c r="M15" s="21">
        <f>Table16[[#This Row],[1-R]]*((Table16[[#This Row],[xu]]-Table16[[#This Row],[xl]])/Table16[[#This Row],[x2]])*100</f>
        <v>0.76938882920937557</v>
      </c>
    </row>
    <row r="18" spans="5:8" x14ac:dyDescent="0.25">
      <c r="E18" t="s">
        <v>83</v>
      </c>
      <c r="H18" s="21">
        <v>21.832815729997478</v>
      </c>
    </row>
    <row r="20" spans="5:8" x14ac:dyDescent="0.25">
      <c r="E20" t="s">
        <v>84</v>
      </c>
      <c r="H20" s="21">
        <v>24.974647327897671</v>
      </c>
    </row>
  </sheetData>
  <mergeCells count="1">
    <mergeCell ref="Q2:T4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9A9F-D05C-4668-862A-3B086E11D7F2}">
  <dimension ref="A1:R75"/>
  <sheetViews>
    <sheetView showGridLines="0" tabSelected="1" topLeftCell="A59" workbookViewId="0">
      <selection activeCell="H9" sqref="H9"/>
    </sheetView>
  </sheetViews>
  <sheetFormatPr defaultRowHeight="15" x14ac:dyDescent="0.25"/>
  <cols>
    <col min="1" max="1" width="11" customWidth="1"/>
    <col min="2" max="2" width="7.5703125" customWidth="1"/>
    <col min="3" max="3" width="6.85546875" customWidth="1"/>
    <col min="4" max="6" width="11" customWidth="1"/>
  </cols>
  <sheetData>
    <row r="1" spans="1:2" x14ac:dyDescent="0.25">
      <c r="A1" t="s">
        <v>85</v>
      </c>
    </row>
    <row r="3" spans="1:2" x14ac:dyDescent="0.25">
      <c r="A3" s="52" t="s">
        <v>86</v>
      </c>
    </row>
    <row r="4" spans="1:2" x14ac:dyDescent="0.25">
      <c r="A4" s="52" t="s">
        <v>87</v>
      </c>
    </row>
    <row r="5" spans="1:2" x14ac:dyDescent="0.25">
      <c r="A5" s="23" t="s">
        <v>88</v>
      </c>
      <c r="B5" s="23"/>
    </row>
    <row r="6" spans="1:2" x14ac:dyDescent="0.25">
      <c r="A6" s="52" t="s">
        <v>89</v>
      </c>
    </row>
    <row r="7" spans="1:2" x14ac:dyDescent="0.25">
      <c r="A7" s="23" t="s">
        <v>90</v>
      </c>
      <c r="B7" s="23"/>
    </row>
    <row r="8" spans="1:2" x14ac:dyDescent="0.25">
      <c r="A8" s="23" t="s">
        <v>91</v>
      </c>
      <c r="B8" s="23"/>
    </row>
    <row r="9" spans="1:2" x14ac:dyDescent="0.25">
      <c r="A9" s="52"/>
    </row>
    <row r="10" spans="1:2" x14ac:dyDescent="0.25">
      <c r="A10" s="52" t="s">
        <v>92</v>
      </c>
    </row>
    <row r="11" spans="1:2" x14ac:dyDescent="0.25">
      <c r="A11" s="52" t="s">
        <v>93</v>
      </c>
    </row>
    <row r="12" spans="1:2" x14ac:dyDescent="0.25">
      <c r="A12" s="52"/>
    </row>
    <row r="17" spans="1:10" x14ac:dyDescent="0.25">
      <c r="A17" t="s">
        <v>94</v>
      </c>
    </row>
    <row r="18" spans="1:10" x14ac:dyDescent="0.25">
      <c r="A18" t="s">
        <v>95</v>
      </c>
    </row>
    <row r="19" spans="1:10" x14ac:dyDescent="0.25">
      <c r="B19" t="s">
        <v>96</v>
      </c>
      <c r="C19" t="s">
        <v>97</v>
      </c>
      <c r="D19" t="s">
        <v>98</v>
      </c>
      <c r="E19" s="53">
        <v>0</v>
      </c>
      <c r="F19" s="54" t="s">
        <v>99</v>
      </c>
    </row>
    <row r="20" spans="1:10" x14ac:dyDescent="0.25">
      <c r="B20" t="s">
        <v>100</v>
      </c>
      <c r="C20" t="s">
        <v>101</v>
      </c>
      <c r="D20" t="s">
        <v>102</v>
      </c>
      <c r="E20" t="s">
        <v>103</v>
      </c>
      <c r="F20" s="54" t="s">
        <v>104</v>
      </c>
    </row>
    <row r="21" spans="1:10" x14ac:dyDescent="0.25">
      <c r="F21" s="54"/>
    </row>
    <row r="22" spans="1:10" x14ac:dyDescent="0.25">
      <c r="B22" s="23" t="s">
        <v>105</v>
      </c>
      <c r="C22" s="23"/>
      <c r="D22" s="23"/>
      <c r="E22" s="23"/>
      <c r="F22" s="23"/>
    </row>
    <row r="23" spans="1:10" x14ac:dyDescent="0.25">
      <c r="B23" s="23" t="s">
        <v>106</v>
      </c>
      <c r="C23" s="23"/>
      <c r="D23" s="23"/>
      <c r="E23" s="23"/>
      <c r="F23" s="23"/>
    </row>
    <row r="24" spans="1:10" x14ac:dyDescent="0.25">
      <c r="A24" s="44" t="s">
        <v>107</v>
      </c>
      <c r="B24" s="22"/>
      <c r="C24" s="22"/>
      <c r="D24" s="22"/>
      <c r="E24" s="22"/>
      <c r="F24" s="22"/>
    </row>
    <row r="25" spans="1:10" x14ac:dyDescent="0.25">
      <c r="B25" s="22"/>
      <c r="C25" s="22"/>
      <c r="D25" s="22"/>
      <c r="E25" s="22"/>
      <c r="F25" s="22"/>
    </row>
    <row r="26" spans="1:10" x14ac:dyDescent="0.25">
      <c r="A26" t="s">
        <v>108</v>
      </c>
    </row>
    <row r="27" spans="1:10" x14ac:dyDescent="0.25">
      <c r="A27" s="29" t="s">
        <v>109</v>
      </c>
      <c r="B27" s="29" t="s">
        <v>110</v>
      </c>
      <c r="C27" s="29" t="s">
        <v>111</v>
      </c>
      <c r="D27" s="55" t="s">
        <v>112</v>
      </c>
      <c r="E27" s="29" t="s">
        <v>113</v>
      </c>
      <c r="F27" s="29" t="s">
        <v>114</v>
      </c>
      <c r="G27" s="29" t="s">
        <v>115</v>
      </c>
      <c r="H27" s="29" t="s">
        <v>116</v>
      </c>
      <c r="I27" s="29" t="s">
        <v>117</v>
      </c>
    </row>
    <row r="28" spans="1:10" x14ac:dyDescent="0.25">
      <c r="A28" s="29" t="s">
        <v>118</v>
      </c>
      <c r="B28" s="29" t="s">
        <v>119</v>
      </c>
      <c r="C28" s="29">
        <v>1</v>
      </c>
      <c r="D28" s="55">
        <v>-8</v>
      </c>
      <c r="E28" s="29">
        <v>-5</v>
      </c>
      <c r="F28" s="29">
        <v>0</v>
      </c>
      <c r="G28" s="29">
        <v>0</v>
      </c>
      <c r="H28" s="29">
        <v>0</v>
      </c>
      <c r="I28" s="29"/>
    </row>
    <row r="29" spans="1:10" x14ac:dyDescent="0.25">
      <c r="A29" s="29" t="s">
        <v>120</v>
      </c>
      <c r="B29" s="29" t="s">
        <v>121</v>
      </c>
      <c r="C29" s="29">
        <v>0</v>
      </c>
      <c r="D29" s="55">
        <v>1</v>
      </c>
      <c r="E29" s="29">
        <v>1</v>
      </c>
      <c r="F29" s="29">
        <v>1</v>
      </c>
      <c r="G29" s="29">
        <v>0</v>
      </c>
      <c r="H29" s="29">
        <v>6</v>
      </c>
      <c r="I29" s="29">
        <f>H29/D29</f>
        <v>6</v>
      </c>
    </row>
    <row r="30" spans="1:10" x14ac:dyDescent="0.25">
      <c r="A30" s="39" t="s">
        <v>122</v>
      </c>
      <c r="B30" s="39" t="s">
        <v>103</v>
      </c>
      <c r="C30" s="39">
        <v>0</v>
      </c>
      <c r="D30" s="56">
        <v>9</v>
      </c>
      <c r="E30" s="39">
        <v>5</v>
      </c>
      <c r="F30" s="39">
        <v>0</v>
      </c>
      <c r="G30" s="39">
        <v>1</v>
      </c>
      <c r="H30" s="39">
        <v>45</v>
      </c>
      <c r="I30" s="39">
        <f t="shared" ref="I30" si="0">H30/D30</f>
        <v>5</v>
      </c>
      <c r="J30" t="s">
        <v>123</v>
      </c>
    </row>
    <row r="31" spans="1:10" x14ac:dyDescent="0.25">
      <c r="A31" t="s">
        <v>124</v>
      </c>
    </row>
    <row r="34" spans="1:18" x14ac:dyDescent="0.25">
      <c r="B34" t="s">
        <v>125</v>
      </c>
    </row>
    <row r="35" spans="1:18" x14ac:dyDescent="0.25">
      <c r="B35" t="s">
        <v>126</v>
      </c>
    </row>
    <row r="36" spans="1:18" x14ac:dyDescent="0.25">
      <c r="B36" t="s">
        <v>127</v>
      </c>
    </row>
    <row r="37" spans="1:18" x14ac:dyDescent="0.25">
      <c r="B37" t="s">
        <v>128</v>
      </c>
    </row>
    <row r="39" spans="1:18" x14ac:dyDescent="0.25">
      <c r="A39" s="29" t="s">
        <v>118</v>
      </c>
      <c r="B39" s="29" t="s">
        <v>119</v>
      </c>
      <c r="C39" s="29">
        <v>1</v>
      </c>
      <c r="D39" s="55">
        <v>-8</v>
      </c>
      <c r="E39" s="29">
        <v>-5</v>
      </c>
      <c r="F39" s="29">
        <v>0</v>
      </c>
      <c r="G39" s="29">
        <v>0</v>
      </c>
      <c r="H39" s="29">
        <v>0</v>
      </c>
      <c r="K39" s="29" t="s">
        <v>120</v>
      </c>
      <c r="L39" s="29" t="s">
        <v>121</v>
      </c>
      <c r="M39" s="29">
        <v>0</v>
      </c>
      <c r="N39" s="55">
        <v>1</v>
      </c>
      <c r="O39" s="29">
        <v>1</v>
      </c>
      <c r="P39" s="29">
        <v>1</v>
      </c>
      <c r="Q39" s="29">
        <v>0</v>
      </c>
      <c r="R39" s="29">
        <v>6</v>
      </c>
    </row>
    <row r="40" spans="1:18" x14ac:dyDescent="0.25">
      <c r="A40" s="39" t="s">
        <v>129</v>
      </c>
      <c r="B40" s="39" t="s">
        <v>71</v>
      </c>
      <c r="C40" s="39">
        <f>C30/9</f>
        <v>0</v>
      </c>
      <c r="D40" s="39">
        <f t="shared" ref="D40:H40" si="1">D30/9</f>
        <v>1</v>
      </c>
      <c r="E40" s="39">
        <f t="shared" si="1"/>
        <v>0.55555555555555558</v>
      </c>
      <c r="F40" s="39">
        <f t="shared" si="1"/>
        <v>0</v>
      </c>
      <c r="G40" s="39">
        <f t="shared" si="1"/>
        <v>0.1111111111111111</v>
      </c>
      <c r="H40" s="39">
        <f t="shared" si="1"/>
        <v>5</v>
      </c>
      <c r="K40" s="39" t="s">
        <v>129</v>
      </c>
      <c r="L40" s="39" t="s">
        <v>71</v>
      </c>
      <c r="M40" s="39">
        <v>0</v>
      </c>
      <c r="N40" s="39">
        <v>1</v>
      </c>
      <c r="O40" s="39">
        <v>0.55555555555555558</v>
      </c>
      <c r="P40" s="39">
        <v>0</v>
      </c>
      <c r="Q40" s="39">
        <v>0.1111111111111111</v>
      </c>
      <c r="R40" s="39">
        <v>5</v>
      </c>
    </row>
    <row r="41" spans="1:18" x14ac:dyDescent="0.25">
      <c r="A41" t="s">
        <v>130</v>
      </c>
      <c r="B41" t="s">
        <v>119</v>
      </c>
      <c r="C41">
        <f t="shared" ref="C41:H41" si="2">C39-($D$39*C40)</f>
        <v>1</v>
      </c>
      <c r="D41">
        <f t="shared" si="2"/>
        <v>0</v>
      </c>
      <c r="E41">
        <f t="shared" si="2"/>
        <v>-0.55555555555555536</v>
      </c>
      <c r="F41">
        <f t="shared" si="2"/>
        <v>0</v>
      </c>
      <c r="G41">
        <f t="shared" si="2"/>
        <v>0.88888888888888884</v>
      </c>
      <c r="H41">
        <f t="shared" si="2"/>
        <v>40</v>
      </c>
      <c r="K41" t="s">
        <v>131</v>
      </c>
      <c r="L41" t="s">
        <v>121</v>
      </c>
      <c r="M41">
        <f>M39-($N$39*M40)</f>
        <v>0</v>
      </c>
      <c r="N41">
        <f t="shared" ref="N41:R41" si="3">N39-($N$39*N40)</f>
        <v>0</v>
      </c>
      <c r="O41">
        <f t="shared" si="3"/>
        <v>0.44444444444444442</v>
      </c>
      <c r="P41">
        <f t="shared" si="3"/>
        <v>1</v>
      </c>
      <c r="Q41">
        <f t="shared" si="3"/>
        <v>-0.1111111111111111</v>
      </c>
      <c r="R41">
        <f t="shared" si="3"/>
        <v>1</v>
      </c>
    </row>
    <row r="46" spans="1:18" x14ac:dyDescent="0.25">
      <c r="A46" t="s">
        <v>132</v>
      </c>
    </row>
    <row r="47" spans="1:18" x14ac:dyDescent="0.25">
      <c r="A47" s="29" t="s">
        <v>109</v>
      </c>
      <c r="B47" s="29" t="s">
        <v>110</v>
      </c>
      <c r="C47" s="29" t="s">
        <v>111</v>
      </c>
      <c r="D47" s="29" t="s">
        <v>112</v>
      </c>
      <c r="E47" s="55" t="s">
        <v>113</v>
      </c>
      <c r="F47" s="29" t="s">
        <v>114</v>
      </c>
      <c r="G47" s="29" t="s">
        <v>115</v>
      </c>
      <c r="H47" s="29" t="s">
        <v>116</v>
      </c>
      <c r="I47" s="29" t="s">
        <v>117</v>
      </c>
    </row>
    <row r="48" spans="1:18" x14ac:dyDescent="0.25">
      <c r="A48" s="29" t="s">
        <v>130</v>
      </c>
      <c r="B48" s="29" t="s">
        <v>119</v>
      </c>
      <c r="C48" s="29">
        <v>1</v>
      </c>
      <c r="D48" s="29">
        <v>0</v>
      </c>
      <c r="E48" s="57">
        <v>-0.55555555555555536</v>
      </c>
      <c r="F48" s="29">
        <v>0</v>
      </c>
      <c r="G48" s="29">
        <v>0.88888888888888884</v>
      </c>
      <c r="H48" s="29">
        <v>40</v>
      </c>
      <c r="I48" s="29"/>
    </row>
    <row r="49" spans="1:18" x14ac:dyDescent="0.25">
      <c r="A49" s="39" t="s">
        <v>131</v>
      </c>
      <c r="B49" s="39" t="s">
        <v>121</v>
      </c>
      <c r="C49" s="39">
        <v>0</v>
      </c>
      <c r="D49" s="58">
        <v>0</v>
      </c>
      <c r="E49" s="56">
        <v>0.44444444444444398</v>
      </c>
      <c r="F49" s="58">
        <v>1</v>
      </c>
      <c r="G49" s="58">
        <v>-0.1111111111111111</v>
      </c>
      <c r="H49" s="58">
        <v>1</v>
      </c>
      <c r="I49" s="39">
        <f>H49/E49</f>
        <v>2.2500000000000022</v>
      </c>
    </row>
    <row r="50" spans="1:18" x14ac:dyDescent="0.25">
      <c r="A50" s="29" t="s">
        <v>129</v>
      </c>
      <c r="B50" s="29" t="s">
        <v>71</v>
      </c>
      <c r="C50" s="29">
        <v>0</v>
      </c>
      <c r="D50" s="29">
        <v>1</v>
      </c>
      <c r="E50" s="55">
        <v>0.55555555555555602</v>
      </c>
      <c r="F50" s="29">
        <v>0</v>
      </c>
      <c r="G50" s="29">
        <v>0.1111111111111111</v>
      </c>
      <c r="H50" s="29">
        <v>5</v>
      </c>
      <c r="I50" s="29">
        <f>H50/E50</f>
        <v>8.9999999999999929</v>
      </c>
    </row>
    <row r="51" spans="1:18" x14ac:dyDescent="0.25">
      <c r="A51" s="59" t="s">
        <v>133</v>
      </c>
      <c r="B51" s="60" t="s">
        <v>134</v>
      </c>
      <c r="C51" s="60"/>
      <c r="D51" s="60"/>
      <c r="E51" s="60"/>
      <c r="F51" s="60"/>
      <c r="G51" s="60"/>
      <c r="H51" s="60"/>
      <c r="I51" s="60"/>
      <c r="J51" s="21"/>
      <c r="K51" s="21"/>
      <c r="L51" s="21"/>
    </row>
    <row r="52" spans="1:18" x14ac:dyDescent="0.25">
      <c r="B52" s="61"/>
      <c r="C52" s="61"/>
      <c r="D52" s="61"/>
      <c r="E52" s="61"/>
      <c r="F52" s="61"/>
      <c r="G52" s="61"/>
      <c r="H52" s="61"/>
      <c r="I52" s="61"/>
    </row>
    <row r="53" spans="1:18" x14ac:dyDescent="0.25">
      <c r="C53" s="61"/>
      <c r="D53" s="61"/>
      <c r="E53" s="61"/>
      <c r="F53" s="61"/>
      <c r="G53" s="61"/>
      <c r="H53" s="61"/>
      <c r="I53" s="61"/>
    </row>
    <row r="54" spans="1:18" x14ac:dyDescent="0.25">
      <c r="B54" t="s">
        <v>125</v>
      </c>
      <c r="C54" s="61"/>
      <c r="D54" s="61"/>
      <c r="E54" s="61"/>
      <c r="F54" s="61"/>
      <c r="G54" s="61"/>
      <c r="H54" s="61"/>
      <c r="I54" s="61"/>
    </row>
    <row r="55" spans="1:18" x14ac:dyDescent="0.25">
      <c r="B55" t="s">
        <v>135</v>
      </c>
      <c r="C55" s="61"/>
      <c r="D55" s="61"/>
      <c r="E55" s="61"/>
      <c r="F55" s="61"/>
      <c r="G55" s="61"/>
      <c r="H55" s="61"/>
      <c r="I55" s="61"/>
    </row>
    <row r="56" spans="1:18" x14ac:dyDescent="0.25">
      <c r="B56" t="s">
        <v>136</v>
      </c>
      <c r="C56" s="61"/>
      <c r="D56" s="61"/>
      <c r="E56" s="61"/>
      <c r="F56" s="61"/>
      <c r="G56" s="61"/>
      <c r="H56" s="61"/>
      <c r="I56" s="61"/>
    </row>
    <row r="57" spans="1:18" x14ac:dyDescent="0.25">
      <c r="B57" t="s">
        <v>137</v>
      </c>
      <c r="C57" s="61"/>
      <c r="D57" s="61"/>
      <c r="E57" s="61"/>
      <c r="F57" s="61"/>
      <c r="G57" s="61"/>
      <c r="H57" s="61"/>
      <c r="I57" s="61"/>
    </row>
    <row r="58" spans="1:18" x14ac:dyDescent="0.25">
      <c r="B58" s="61"/>
      <c r="C58" s="61"/>
      <c r="D58" s="61"/>
      <c r="E58" s="61"/>
      <c r="F58" s="61"/>
      <c r="G58" s="61"/>
      <c r="H58" s="61"/>
      <c r="I58" s="61"/>
    </row>
    <row r="59" spans="1:18" x14ac:dyDescent="0.25">
      <c r="B59" s="61"/>
      <c r="C59" s="61"/>
      <c r="D59" s="61"/>
      <c r="E59" s="61"/>
      <c r="F59" s="61"/>
      <c r="G59" s="61"/>
      <c r="H59" s="61"/>
      <c r="I59" s="61"/>
    </row>
    <row r="60" spans="1:18" x14ac:dyDescent="0.25">
      <c r="A60" s="29" t="s">
        <v>130</v>
      </c>
      <c r="B60" s="29" t="s">
        <v>119</v>
      </c>
      <c r="C60" s="29">
        <v>1</v>
      </c>
      <c r="D60" s="29">
        <v>0</v>
      </c>
      <c r="E60" s="55">
        <v>-0.55555555555555536</v>
      </c>
      <c r="F60" s="29">
        <v>0</v>
      </c>
      <c r="G60" s="29">
        <v>0.88888888888888884</v>
      </c>
      <c r="H60" s="29">
        <v>40</v>
      </c>
      <c r="K60" s="29" t="s">
        <v>129</v>
      </c>
      <c r="L60" s="29" t="s">
        <v>71</v>
      </c>
      <c r="M60" s="29">
        <v>0</v>
      </c>
      <c r="N60" s="29">
        <v>1</v>
      </c>
      <c r="O60" s="55">
        <v>0.55555555555555602</v>
      </c>
      <c r="P60" s="29">
        <v>0</v>
      </c>
      <c r="Q60" s="29">
        <v>0.1111111111111111</v>
      </c>
      <c r="R60" s="29">
        <v>5</v>
      </c>
    </row>
    <row r="61" spans="1:18" x14ac:dyDescent="0.25">
      <c r="A61" s="39" t="s">
        <v>138</v>
      </c>
      <c r="B61" s="39" t="s">
        <v>71</v>
      </c>
      <c r="C61" s="39">
        <f>C49/$E$49</f>
        <v>0</v>
      </c>
      <c r="D61" s="39">
        <f t="shared" ref="D61:H61" si="4">D49/$E$49</f>
        <v>0</v>
      </c>
      <c r="E61" s="39">
        <f t="shared" si="4"/>
        <v>1</v>
      </c>
      <c r="F61" s="39">
        <f t="shared" si="4"/>
        <v>2.2500000000000022</v>
      </c>
      <c r="G61" s="39">
        <f t="shared" si="4"/>
        <v>-0.25000000000000022</v>
      </c>
      <c r="H61" s="39">
        <f t="shared" si="4"/>
        <v>2.2500000000000022</v>
      </c>
      <c r="K61" s="39" t="s">
        <v>138</v>
      </c>
      <c r="L61" s="39" t="s">
        <v>71</v>
      </c>
      <c r="M61" s="39">
        <f>C49/$E$49</f>
        <v>0</v>
      </c>
      <c r="N61" s="39">
        <f t="shared" ref="N61:R61" si="5">D49/$E$49</f>
        <v>0</v>
      </c>
      <c r="O61" s="39">
        <f t="shared" si="5"/>
        <v>1</v>
      </c>
      <c r="P61" s="39">
        <f t="shared" si="5"/>
        <v>2.2500000000000022</v>
      </c>
      <c r="Q61" s="39">
        <f t="shared" si="5"/>
        <v>-0.25000000000000022</v>
      </c>
      <c r="R61" s="39">
        <f t="shared" si="5"/>
        <v>2.2500000000000022</v>
      </c>
    </row>
    <row r="62" spans="1:18" x14ac:dyDescent="0.25">
      <c r="A62" t="s">
        <v>139</v>
      </c>
      <c r="B62" t="s">
        <v>119</v>
      </c>
      <c r="C62">
        <f>C60-($E$60*C61)</f>
        <v>1</v>
      </c>
      <c r="D62">
        <f t="shared" ref="D62:H62" si="6">D60-($E$60*D61)</f>
        <v>0</v>
      </c>
      <c r="E62">
        <f t="shared" si="6"/>
        <v>0</v>
      </c>
      <c r="F62">
        <f t="shared" si="6"/>
        <v>1.2500000000000009</v>
      </c>
      <c r="G62">
        <f t="shared" si="6"/>
        <v>0.74999999999999989</v>
      </c>
      <c r="H62">
        <f t="shared" si="6"/>
        <v>41.25</v>
      </c>
      <c r="K62" t="s">
        <v>140</v>
      </c>
      <c r="L62" t="s">
        <v>71</v>
      </c>
      <c r="M62">
        <f>M60-($O$60*M61)</f>
        <v>0</v>
      </c>
      <c r="N62">
        <f t="shared" ref="N62:R62" si="7">N60-($O$60*N61)</f>
        <v>1</v>
      </c>
      <c r="O62">
        <f t="shared" si="7"/>
        <v>0</v>
      </c>
      <c r="P62">
        <f t="shared" si="7"/>
        <v>-1.2500000000000022</v>
      </c>
      <c r="Q62">
        <f t="shared" si="7"/>
        <v>0.25000000000000022</v>
      </c>
      <c r="R62">
        <f t="shared" si="7"/>
        <v>3.7499999999999978</v>
      </c>
    </row>
    <row r="63" spans="1:18" x14ac:dyDescent="0.25">
      <c r="B63" s="61"/>
      <c r="C63" s="61"/>
      <c r="D63" s="61"/>
      <c r="E63" s="61"/>
      <c r="F63" s="61"/>
      <c r="G63" s="61"/>
      <c r="H63" s="61"/>
      <c r="I63" s="61"/>
    </row>
    <row r="64" spans="1:18" x14ac:dyDescent="0.25">
      <c r="B64" s="61"/>
      <c r="C64" s="61"/>
      <c r="D64" s="61"/>
      <c r="E64" s="61"/>
      <c r="F64" s="61"/>
      <c r="G64" s="61"/>
      <c r="H64" s="61"/>
      <c r="I64" s="61"/>
    </row>
    <row r="65" spans="1:9" x14ac:dyDescent="0.25">
      <c r="A65" t="s">
        <v>141</v>
      </c>
    </row>
    <row r="66" spans="1:9" x14ac:dyDescent="0.25">
      <c r="A66" s="29" t="s">
        <v>109</v>
      </c>
      <c r="B66" s="29" t="s">
        <v>110</v>
      </c>
      <c r="C66" s="29" t="s">
        <v>111</v>
      </c>
      <c r="D66" s="29" t="s">
        <v>112</v>
      </c>
      <c r="E66" s="29" t="s">
        <v>113</v>
      </c>
      <c r="F66" s="29" t="s">
        <v>114</v>
      </c>
      <c r="G66" s="29" t="s">
        <v>115</v>
      </c>
      <c r="H66" s="29" t="s">
        <v>116</v>
      </c>
      <c r="I66" s="29"/>
    </row>
    <row r="67" spans="1:9" x14ac:dyDescent="0.25">
      <c r="A67" s="29" t="s">
        <v>139</v>
      </c>
      <c r="B67" s="29" t="s">
        <v>119</v>
      </c>
      <c r="C67" s="29">
        <v>1</v>
      </c>
      <c r="D67" s="29">
        <v>0</v>
      </c>
      <c r="E67" s="62">
        <v>0</v>
      </c>
      <c r="F67" s="29">
        <v>1.2500000000000009</v>
      </c>
      <c r="G67" s="29">
        <v>0.74999999999999989</v>
      </c>
      <c r="H67" s="63">
        <v>41.25</v>
      </c>
      <c r="I67" s="29"/>
    </row>
    <row r="68" spans="1:9" x14ac:dyDescent="0.25">
      <c r="A68" s="29" t="s">
        <v>138</v>
      </c>
      <c r="B68" s="29" t="s">
        <v>73</v>
      </c>
      <c r="C68" s="29">
        <v>0</v>
      </c>
      <c r="D68" s="62">
        <v>0</v>
      </c>
      <c r="E68" s="62">
        <v>1</v>
      </c>
      <c r="F68" s="62">
        <v>2.2500000000000022</v>
      </c>
      <c r="G68" s="62">
        <v>-0.25000000000000022</v>
      </c>
      <c r="H68" s="64">
        <v>2.2500000000000022</v>
      </c>
      <c r="I68" s="29"/>
    </row>
    <row r="69" spans="1:9" x14ac:dyDescent="0.25">
      <c r="A69" s="29" t="s">
        <v>140</v>
      </c>
      <c r="B69" s="29" t="s">
        <v>71</v>
      </c>
      <c r="C69" s="29">
        <v>0</v>
      </c>
      <c r="D69" s="29">
        <v>1</v>
      </c>
      <c r="E69" s="29">
        <v>0</v>
      </c>
      <c r="F69" s="29">
        <v>-1.2500000000000022</v>
      </c>
      <c r="G69" s="62">
        <v>0.25000000000000022</v>
      </c>
      <c r="H69" s="63">
        <v>3.7499999999999978</v>
      </c>
      <c r="I69" s="29"/>
    </row>
    <row r="71" spans="1:9" x14ac:dyDescent="0.25">
      <c r="A71" s="65" t="s">
        <v>142</v>
      </c>
      <c r="B71" s="66"/>
      <c r="C71" s="65"/>
      <c r="D71" s="65"/>
      <c r="E71" s="65"/>
      <c r="F71" s="65"/>
      <c r="G71" s="65"/>
      <c r="H71" s="65"/>
    </row>
    <row r="72" spans="1:9" x14ac:dyDescent="0.25">
      <c r="A72" t="s">
        <v>143</v>
      </c>
      <c r="B72" s="67" t="s">
        <v>144</v>
      </c>
    </row>
    <row r="73" spans="1:9" x14ac:dyDescent="0.25">
      <c r="A73" t="s">
        <v>145</v>
      </c>
    </row>
    <row r="74" spans="1:9" x14ac:dyDescent="0.25">
      <c r="A74" t="s">
        <v>112</v>
      </c>
      <c r="B74" s="59" t="s">
        <v>146</v>
      </c>
    </row>
    <row r="75" spans="1:9" x14ac:dyDescent="0.25">
      <c r="A75" t="s">
        <v>113</v>
      </c>
      <c r="B75" s="59" t="s">
        <v>147</v>
      </c>
    </row>
  </sheetData>
  <mergeCells count="5">
    <mergeCell ref="A5:B5"/>
    <mergeCell ref="A7:B7"/>
    <mergeCell ref="A8:B8"/>
    <mergeCell ref="B22:F22"/>
    <mergeCell ref="B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Soal no 1a</vt:lpstr>
      <vt:lpstr>Soal no 1b</vt:lpstr>
      <vt:lpstr>Soal 2a</vt:lpstr>
      <vt:lpstr>Soal 2b</vt:lpstr>
      <vt:lpstr>Soal 3a</vt:lpstr>
      <vt:lpstr>Soal 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MIKHA SULISTIYO 12024002503</dc:creator>
  <cp:lastModifiedBy>TOBIAS MIKHA SULISTIYO 12024002503</cp:lastModifiedBy>
  <dcterms:created xsi:type="dcterms:W3CDTF">2024-10-26T01:17:23Z</dcterms:created>
  <dcterms:modified xsi:type="dcterms:W3CDTF">2024-10-26T03:06:34Z</dcterms:modified>
</cp:coreProperties>
</file>