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2-Pascasarjana\SEMESTER 1\METODE KOMPUTASI\"/>
    </mc:Choice>
  </mc:AlternateContent>
  <xr:revisionPtr revIDLastSave="0" documentId="13_ncr:1_{11C579E7-17A4-4A18-9AB6-111DF7FBDA80}" xr6:coauthVersionLast="47" xr6:coauthVersionMax="47" xr10:uidLastSave="{00000000-0000-0000-0000-000000000000}"/>
  <bookViews>
    <workbookView xWindow="-120" yWindow="-120" windowWidth="20730" windowHeight="11160" activeTab="2" xr2:uid="{361E69E7-F38E-4E18-B0A8-9312D05E102E}"/>
  </bookViews>
  <sheets>
    <sheet name="Linear Reggresion" sheetId="1" r:id="rId1"/>
    <sheet name="Exponentional" sheetId="4" r:id="rId2"/>
    <sheet name="Perpangkatan" sheetId="5" r:id="rId3"/>
    <sheet name="Laju Pertumbuha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6" l="1"/>
  <c r="E24" i="6"/>
  <c r="G3" i="6"/>
  <c r="G4" i="6"/>
  <c r="G10" i="6" s="1"/>
  <c r="E14" i="6" s="1"/>
  <c r="G5" i="6"/>
  <c r="G6" i="6"/>
  <c r="G7" i="6"/>
  <c r="G8" i="6"/>
  <c r="G9" i="6"/>
  <c r="F3" i="6"/>
  <c r="E3" i="6"/>
  <c r="E4" i="6"/>
  <c r="E5" i="6"/>
  <c r="E6" i="6"/>
  <c r="E7" i="6"/>
  <c r="E8" i="6"/>
  <c r="E9" i="6"/>
  <c r="F7" i="6"/>
  <c r="F8" i="6"/>
  <c r="D10" i="6"/>
  <c r="C10" i="6"/>
  <c r="B10" i="6"/>
  <c r="B14" i="6" s="1"/>
  <c r="G3" i="5"/>
  <c r="G4" i="5"/>
  <c r="G5" i="5"/>
  <c r="G6" i="5"/>
  <c r="G7" i="5"/>
  <c r="E3" i="5"/>
  <c r="F3" i="5" s="1"/>
  <c r="E4" i="5"/>
  <c r="F4" i="5" s="1"/>
  <c r="E5" i="5"/>
  <c r="E6" i="5"/>
  <c r="F6" i="5" s="1"/>
  <c r="E7" i="5"/>
  <c r="F7" i="5" s="1"/>
  <c r="D8" i="5"/>
  <c r="C8" i="5"/>
  <c r="B8" i="5"/>
  <c r="B12" i="5" s="1"/>
  <c r="I24" i="4"/>
  <c r="I3" i="4"/>
  <c r="I4" i="4"/>
  <c r="I5" i="4"/>
  <c r="I6" i="4"/>
  <c r="I7" i="4"/>
  <c r="I8" i="4"/>
  <c r="I9" i="4"/>
  <c r="J3" i="4"/>
  <c r="J4" i="4"/>
  <c r="J5" i="4"/>
  <c r="J6" i="4"/>
  <c r="J7" i="4"/>
  <c r="J8" i="4"/>
  <c r="J9" i="4"/>
  <c r="I14" i="4"/>
  <c r="E14" i="4"/>
  <c r="F10" i="4"/>
  <c r="G3" i="4"/>
  <c r="G4" i="4"/>
  <c r="G5" i="4"/>
  <c r="G6" i="4"/>
  <c r="G7" i="4"/>
  <c r="G8" i="4"/>
  <c r="G9" i="4"/>
  <c r="F3" i="4"/>
  <c r="F4" i="4"/>
  <c r="F5" i="4"/>
  <c r="F6" i="4"/>
  <c r="F7" i="4"/>
  <c r="F8" i="4"/>
  <c r="F9" i="4"/>
  <c r="D10" i="4"/>
  <c r="C10" i="4"/>
  <c r="C14" i="4" s="1"/>
  <c r="B10" i="4"/>
  <c r="B14" i="4" s="1"/>
  <c r="E9" i="4"/>
  <c r="E8" i="4"/>
  <c r="E7" i="4"/>
  <c r="E6" i="4"/>
  <c r="E5" i="4"/>
  <c r="E4" i="4"/>
  <c r="E3" i="4"/>
  <c r="I23" i="1"/>
  <c r="I20" i="1"/>
  <c r="I18" i="1"/>
  <c r="I17" i="1"/>
  <c r="I3" i="1"/>
  <c r="I4" i="1"/>
  <c r="I5" i="1"/>
  <c r="I6" i="1"/>
  <c r="I7" i="1"/>
  <c r="I8" i="1"/>
  <c r="I9" i="1"/>
  <c r="I10" i="1"/>
  <c r="B16" i="1"/>
  <c r="C15" i="1"/>
  <c r="D11" i="1"/>
  <c r="I15" i="1" s="1"/>
  <c r="C11" i="1"/>
  <c r="B11" i="1"/>
  <c r="B15" i="1" s="1"/>
  <c r="F4" i="1"/>
  <c r="F5" i="1"/>
  <c r="F11" i="1" s="1"/>
  <c r="E16" i="1" s="1"/>
  <c r="F6" i="1"/>
  <c r="F7" i="1"/>
  <c r="F8" i="1"/>
  <c r="F9" i="1"/>
  <c r="F10" i="1"/>
  <c r="F3" i="1"/>
  <c r="E4" i="1"/>
  <c r="E5" i="1"/>
  <c r="E6" i="1"/>
  <c r="E7" i="1"/>
  <c r="E8" i="1"/>
  <c r="E9" i="1"/>
  <c r="E10" i="1"/>
  <c r="E3" i="1"/>
  <c r="E11" i="1" s="1"/>
  <c r="C16" i="1" s="1"/>
  <c r="H4" i="6" l="1"/>
  <c r="H6" i="6"/>
  <c r="H7" i="6"/>
  <c r="H8" i="6"/>
  <c r="H5" i="6"/>
  <c r="H9" i="6"/>
  <c r="E10" i="6"/>
  <c r="B15" i="6" s="1"/>
  <c r="I14" i="6"/>
  <c r="K7" i="6" s="1"/>
  <c r="F9" i="6"/>
  <c r="F4" i="6"/>
  <c r="F5" i="6"/>
  <c r="F6" i="6"/>
  <c r="H3" i="6"/>
  <c r="H5" i="5"/>
  <c r="H7" i="5"/>
  <c r="H3" i="5"/>
  <c r="H6" i="5"/>
  <c r="H4" i="5"/>
  <c r="F5" i="5"/>
  <c r="F8" i="5" s="1"/>
  <c r="C13" i="5" s="1"/>
  <c r="G8" i="5"/>
  <c r="E12" i="5" s="1"/>
  <c r="E8" i="5"/>
  <c r="E10" i="4"/>
  <c r="C15" i="4" s="1"/>
  <c r="G10" i="4"/>
  <c r="E15" i="4" s="1"/>
  <c r="B15" i="4"/>
  <c r="B19" i="4" s="1" a="1"/>
  <c r="B19" i="4" s="1"/>
  <c r="F19" i="4" s="1" a="1"/>
  <c r="F19" i="4" s="1"/>
  <c r="B20" i="1" a="1"/>
  <c r="B20" i="1" s="1"/>
  <c r="F20" i="1" s="1" a="1"/>
  <c r="F20" i="1" s="1"/>
  <c r="E15" i="1"/>
  <c r="H10" i="6" l="1"/>
  <c r="E15" i="6" s="1"/>
  <c r="K9" i="6"/>
  <c r="K5" i="6"/>
  <c r="C14" i="6"/>
  <c r="K4" i="6"/>
  <c r="K8" i="6"/>
  <c r="K3" i="6"/>
  <c r="K6" i="6"/>
  <c r="F10" i="6"/>
  <c r="C15" i="6" s="1"/>
  <c r="H8" i="5"/>
  <c r="E13" i="5" s="1"/>
  <c r="B13" i="5"/>
  <c r="C12" i="5"/>
  <c r="B17" i="5" s="1" a="1"/>
  <c r="B17" i="5" s="1"/>
  <c r="F17" i="5" s="1" a="1"/>
  <c r="F17" i="5" s="1"/>
  <c r="J19" i="5" s="1"/>
  <c r="I21" i="5" s="1"/>
  <c r="I12" i="5"/>
  <c r="K4" i="5" s="1"/>
  <c r="J10" i="4"/>
  <c r="I16" i="4" s="1"/>
  <c r="H8" i="4"/>
  <c r="K8" i="4" s="1"/>
  <c r="H6" i="4"/>
  <c r="K6" i="4" s="1"/>
  <c r="H4" i="4"/>
  <c r="K4" i="4" s="1"/>
  <c r="H5" i="4"/>
  <c r="K5" i="4" s="1"/>
  <c r="I22" i="4"/>
  <c r="H9" i="4"/>
  <c r="K9" i="4" s="1"/>
  <c r="H7" i="4"/>
  <c r="K7" i="4" s="1"/>
  <c r="H3" i="4"/>
  <c r="K3" i="4" s="1"/>
  <c r="G6" i="1"/>
  <c r="H6" i="1" s="1"/>
  <c r="J6" i="1" s="1"/>
  <c r="G10" i="1"/>
  <c r="H10" i="1" s="1"/>
  <c r="J10" i="1" s="1"/>
  <c r="G4" i="1"/>
  <c r="H4" i="1" s="1"/>
  <c r="J4" i="1" s="1"/>
  <c r="G8" i="1"/>
  <c r="H8" i="1" s="1"/>
  <c r="J8" i="1" s="1"/>
  <c r="G9" i="1"/>
  <c r="H9" i="1" s="1"/>
  <c r="J9" i="1" s="1"/>
  <c r="G3" i="1"/>
  <c r="G7" i="1"/>
  <c r="H7" i="1" s="1"/>
  <c r="J7" i="1" s="1"/>
  <c r="G5" i="1"/>
  <c r="H5" i="1" s="1"/>
  <c r="J5" i="1" s="1"/>
  <c r="I11" i="1"/>
  <c r="H3" i="1"/>
  <c r="B19" i="6" l="1" a="1"/>
  <c r="B19" i="6" s="1"/>
  <c r="F19" i="6" s="1" a="1"/>
  <c r="F19" i="6" s="1"/>
  <c r="I7" i="6" s="1"/>
  <c r="J7" i="6" s="1"/>
  <c r="L7" i="6" s="1"/>
  <c r="I8" i="6"/>
  <c r="J8" i="6" s="1"/>
  <c r="L8" i="6" s="1"/>
  <c r="I9" i="6"/>
  <c r="J9" i="6" s="1"/>
  <c r="L9" i="6" s="1"/>
  <c r="I3" i="6"/>
  <c r="J3" i="6" s="1"/>
  <c r="L3" i="6" s="1"/>
  <c r="K10" i="6"/>
  <c r="I16" i="6" s="1"/>
  <c r="K5" i="5"/>
  <c r="I6" i="5"/>
  <c r="J6" i="5" s="1"/>
  <c r="L6" i="5" s="1"/>
  <c r="I3" i="5"/>
  <c r="J3" i="5" s="1"/>
  <c r="L3" i="5" s="1"/>
  <c r="I7" i="5"/>
  <c r="J7" i="5" s="1"/>
  <c r="L7" i="5" s="1"/>
  <c r="I4" i="5"/>
  <c r="I5" i="5"/>
  <c r="J5" i="5" s="1"/>
  <c r="L5" i="5" s="1"/>
  <c r="K6" i="5"/>
  <c r="K7" i="5"/>
  <c r="K3" i="5"/>
  <c r="J4" i="5"/>
  <c r="L4" i="5" s="1"/>
  <c r="K10" i="4"/>
  <c r="I17" i="4" s="1"/>
  <c r="I19" i="4" s="1"/>
  <c r="J3" i="1"/>
  <c r="I6" i="6" l="1"/>
  <c r="J6" i="6" s="1"/>
  <c r="L6" i="6" s="1"/>
  <c r="I4" i="6"/>
  <c r="J4" i="6" s="1"/>
  <c r="L4" i="6" s="1"/>
  <c r="L10" i="6" s="1"/>
  <c r="I17" i="6" s="1"/>
  <c r="I19" i="6" s="1"/>
  <c r="E23" i="6"/>
  <c r="I5" i="6"/>
  <c r="J5" i="6" s="1"/>
  <c r="L5" i="6" s="1"/>
  <c r="K8" i="5"/>
  <c r="I14" i="5" s="1"/>
  <c r="L8" i="5"/>
  <c r="I15" i="5" s="1"/>
  <c r="I17" i="5" s="1"/>
  <c r="J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<sst xmlns="http://schemas.openxmlformats.org/spreadsheetml/2006/main" count="110" uniqueCount="46">
  <si>
    <t>i</t>
  </si>
  <si>
    <t>x</t>
  </si>
  <si>
    <t>y</t>
  </si>
  <si>
    <t>x^2</t>
  </si>
  <si>
    <t>xy</t>
  </si>
  <si>
    <t>a+bx</t>
  </si>
  <si>
    <t>st</t>
  </si>
  <si>
    <t>sr</t>
  </si>
  <si>
    <t>n=jumlah pengulangan (i)</t>
  </si>
  <si>
    <t>a</t>
  </si>
  <si>
    <t>b</t>
  </si>
  <si>
    <t>Rumus di Excel pakai</t>
  </si>
  <si>
    <t>MINVERSE (MatrixINVerse)</t>
  </si>
  <si>
    <t>Matrix Inverse</t>
  </si>
  <si>
    <t>err</t>
  </si>
  <si>
    <t xml:space="preserve"> </t>
  </si>
  <si>
    <t>MATRIX 2 (KANAN)</t>
  </si>
  <si>
    <t>MATRIX  1 (KIRI)</t>
  </si>
  <si>
    <t>Nilai a &amp; b</t>
  </si>
  <si>
    <t>Yrata rata</t>
  </si>
  <si>
    <t>St</t>
  </si>
  <si>
    <t>Sr</t>
  </si>
  <si>
    <t>r</t>
  </si>
  <si>
    <t>Y</t>
  </si>
  <si>
    <t>ln(y)</t>
  </si>
  <si>
    <t>x*ln(y)</t>
  </si>
  <si>
    <t>ln (a) &amp; b</t>
  </si>
  <si>
    <t>ln(a)</t>
  </si>
  <si>
    <t>ae^bx</t>
  </si>
  <si>
    <t>log(x)</t>
  </si>
  <si>
    <t>log(x)^2</t>
  </si>
  <si>
    <t>log(y)</t>
  </si>
  <si>
    <t>log(x)*log(y)</t>
  </si>
  <si>
    <t>log (a) &amp; b</t>
  </si>
  <si>
    <t>log(a)</t>
  </si>
  <si>
    <t>log a + b*log x</t>
  </si>
  <si>
    <t>ax^b</t>
  </si>
  <si>
    <t>1/a &amp; b/a</t>
  </si>
  <si>
    <t>1/a</t>
  </si>
  <si>
    <t>b/a</t>
  </si>
  <si>
    <t>1/x</t>
  </si>
  <si>
    <t>1/x^2</t>
  </si>
  <si>
    <t>1/y</t>
  </si>
  <si>
    <t>1/x*1/y</t>
  </si>
  <si>
    <t>1/a + b/a*1/x</t>
  </si>
  <si>
    <t>a(x/(b+x))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</si>
</sst>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28575</xdr:rowOff>
    </xdr:from>
    <xdr:to>
      <xdr:col>0</xdr:col>
      <xdr:colOff>2108129</xdr:colOff>
      <xdr:row>21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6F20B-33CF-101C-6FAA-9C254CBD7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67075"/>
          <a:ext cx="2108129" cy="1276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28575</xdr:rowOff>
    </xdr:from>
    <xdr:to>
      <xdr:col>0</xdr:col>
      <xdr:colOff>2410161</xdr:colOff>
      <xdr:row>20</xdr:row>
      <xdr:rowOff>36014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C606105-F1E3-4D60-961E-D33F9485A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86075"/>
          <a:ext cx="2410161" cy="9599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142875</xdr:rowOff>
    </xdr:from>
    <xdr:to>
      <xdr:col>0</xdr:col>
      <xdr:colOff>3297787</xdr:colOff>
      <xdr:row>18</xdr:row>
      <xdr:rowOff>58615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340F06-8238-F955-9106-8A0E94644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19375"/>
          <a:ext cx="3297787" cy="8682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171450</xdr:rowOff>
    </xdr:from>
    <xdr:to>
      <xdr:col>0</xdr:col>
      <xdr:colOff>3276600</xdr:colOff>
      <xdr:row>21</xdr:row>
      <xdr:rowOff>69050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791E99-BFAB-33A8-B9AE-3C864EE9B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28950"/>
          <a:ext cx="3276600" cy="1040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5ED0C-48E0-40D3-B4E1-A79726A80C5E}" name="Table1" displayName="Table1" ref="B2:J11" totalsRowCount="1">
  <autoFilter ref="B2:J10" xr:uid="{8AC5ED0C-48E0-40D3-B4E1-A79726A80C5E}"/>
  <tableColumns count="9">
    <tableColumn id="1" xr3:uid="{32E34CD6-0EDD-4132-9751-6E0EA755B054}" name="i" totalsRowFunction="count"/>
    <tableColumn id="2" xr3:uid="{6791B6AD-2B13-4E7B-81A4-A14706815054}" name="x" totalsRowFunction="sum"/>
    <tableColumn id="3" xr3:uid="{ADA42DF4-422A-4BE9-ADE1-606372BA6E3E}" name="y" totalsRowFunction="sum"/>
    <tableColumn id="4" xr3:uid="{C852D305-D3A4-4D65-BC73-7469DB005332}" name="x^2" totalsRowFunction="sum">
      <calculatedColumnFormula>C3^2</calculatedColumnFormula>
    </tableColumn>
    <tableColumn id="5" xr3:uid="{BA01F021-7BE1-47B3-962C-299B0A4275BA}" name="xy" totalsRowFunction="sum">
      <calculatedColumnFormula>C3*D3</calculatedColumnFormula>
    </tableColumn>
    <tableColumn id="6" xr3:uid="{4C8B512A-5D05-419F-B462-525ABF16CE87}" name="a+bx" dataDxfId="20">
      <calculatedColumnFormula>$F$20+$F$21*Table1[[#This Row],[x]]</calculatedColumnFormula>
    </tableColumn>
    <tableColumn id="7" xr3:uid="{2733FEBF-9FD4-42D7-A6DC-9D103077E803}" name="err">
      <calculatedColumnFormula>D3-G3</calculatedColumnFormula>
    </tableColumn>
    <tableColumn id="8" xr3:uid="{1CB4D617-DE11-4B5F-810D-EDE375037A3A}" name="st" totalsRowFunction="sum" dataDxfId="19">
      <calculatedColumnFormula>(D3-$I$15)^2</calculatedColumnFormula>
    </tableColumn>
    <tableColumn id="9" xr3:uid="{E1726DE7-FB71-45D3-9EF8-F130E5899872}" name="sr" totalsRowFunction="sum">
      <calculatedColumnFormula>H3^2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A824F3-27E1-4061-BA69-248B5EEAA9D0}" name="Table13" displayName="Table13" ref="B2:K10" totalsRowCount="1">
  <autoFilter ref="B2:K9" xr:uid="{10A824F3-27E1-4061-BA69-248B5EEAA9D0}"/>
  <tableColumns count="10">
    <tableColumn id="1" xr3:uid="{6A7EBE96-0AFF-455E-8415-355CD88C7CA9}" name="i" totalsRowFunction="count"/>
    <tableColumn id="2" xr3:uid="{07B9A24A-9276-4E49-86D4-45C80664EA5C}" name="x" totalsRowFunction="sum"/>
    <tableColumn id="3" xr3:uid="{8EC551A0-7B22-45C6-8F53-BD5CB2F9E7C0}" name="y" totalsRowFunction="sum"/>
    <tableColumn id="4" xr3:uid="{0749E425-418B-4C3B-86C8-DD5EB5169D29}" name="x^2" totalsRowFunction="sum">
      <calculatedColumnFormula>C3^2</calculatedColumnFormula>
    </tableColumn>
    <tableColumn id="10" xr3:uid="{4EB4ED15-E92D-4AD3-B376-B042680B7BE5}" name="ln(y)" totalsRowFunction="sum" dataDxfId="17">
      <calculatedColumnFormula>LN(Table13[[#This Row],[y]])</calculatedColumnFormula>
    </tableColumn>
    <tableColumn id="5" xr3:uid="{8D0D589D-1194-4D81-967D-D3E32C83A8F5}" name="x*ln(y)" totalsRowFunction="sum" dataDxfId="16">
      <calculatedColumnFormula>C3*LN(D3)</calculatedColumnFormula>
    </tableColumn>
    <tableColumn id="6" xr3:uid="{0412F51F-8C13-4AB7-B24C-FC7AEB7F2EE7}" name="a+bx" dataDxfId="18">
      <calculatedColumnFormula>$F$19+$F$20*Table13[[#This Row],[x]]</calculatedColumnFormula>
    </tableColumn>
    <tableColumn id="7" xr3:uid="{BE6CE996-8743-4036-B718-B956D85D8F30}" name="err" dataDxfId="14">
      <calculatedColumnFormula>F3-H3</calculatedColumnFormula>
    </tableColumn>
    <tableColumn id="8" xr3:uid="{45D3200B-118F-48AF-A0D5-AF3940FE0DB0}" name="st" totalsRowFunction="sum" dataDxfId="15">
      <calculatedColumnFormula>(F3-$I$14)^2</calculatedColumnFormula>
    </tableColumn>
    <tableColumn id="9" xr3:uid="{9D79B802-2B52-4CB1-A0D1-175A3BE4BF24}" name="sr" totalsRowFunction="sum">
      <calculatedColumnFormula>I3^2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028219-8B74-40A5-BC28-E36C8D4FFF26}" name="Table134" displayName="Table134" ref="B2:L8" totalsRowCount="1">
  <autoFilter ref="B2:L7" xr:uid="{2C028219-8B74-40A5-BC28-E36C8D4FFF26}"/>
  <tableColumns count="11">
    <tableColumn id="1" xr3:uid="{5BD9B7CF-CFAE-442A-A4BF-BC2BD19575F9}" name="i" totalsRowFunction="count"/>
    <tableColumn id="2" xr3:uid="{9D5D2514-878E-4631-BE1E-1564AA71D580}" name="x" totalsRowFunction="sum"/>
    <tableColumn id="3" xr3:uid="{920DD550-D431-4450-99E6-D2026905D171}" name="y" totalsRowFunction="sum"/>
    <tableColumn id="4" xr3:uid="{C2CED122-23EE-4845-99AE-F4E56B33CEF3}" name="log(x)" totalsRowFunction="sum" dataDxfId="11">
      <calculatedColumnFormula>LOG(Table134[[#This Row],[x]])</calculatedColumnFormula>
    </tableColumn>
    <tableColumn id="11" xr3:uid="{436412BA-F7BE-45A7-83C0-2A6AE720DDCF}" name="log(x)^2" totalsRowFunction="sum" dataDxfId="10">
      <calculatedColumnFormula>Table134[[#This Row],[log(x)]]^2</calculatedColumnFormula>
    </tableColumn>
    <tableColumn id="10" xr3:uid="{8BFDA214-3E4B-411C-A045-19187E749C95}" name="log(y)" totalsRowFunction="sum" dataDxfId="9">
      <calculatedColumnFormula>LOG(Table134[[#This Row],[y]])</calculatedColumnFormula>
    </tableColumn>
    <tableColumn id="5" xr3:uid="{B540EFFA-8A0B-47C7-979F-ABB1688A218D}" name="log(x)*log(y)" totalsRowFunction="sum" dataDxfId="7">
      <calculatedColumnFormula>Table134[[#This Row],[log(x)]]*Table134[[#This Row],[log(y)]]</calculatedColumnFormula>
    </tableColumn>
    <tableColumn id="6" xr3:uid="{668045FD-6049-4F6C-8D31-5159BDDB8013}" name="log a + b*log x" dataDxfId="8">
      <calculatedColumnFormula>$F$17+$F$18*Table134[[#This Row],[log(x)]]</calculatedColumnFormula>
    </tableColumn>
    <tableColumn id="7" xr3:uid="{C3683DA8-5CD2-442F-8ADC-4D1ECFACD693}" name="err" dataDxfId="13">
      <calculatedColumnFormula>G3-I3</calculatedColumnFormula>
    </tableColumn>
    <tableColumn id="8" xr3:uid="{84C29453-4893-4859-AD5E-C5EDDDB6D8CB}" name="st" totalsRowFunction="sum" dataDxfId="12">
      <calculatedColumnFormula>(G3-$I$12)^2</calculatedColumnFormula>
    </tableColumn>
    <tableColumn id="9" xr3:uid="{2638DCC7-BA56-4D66-A1D5-52FADBCBEB5E}" name="sr" totalsRowFunction="sum">
      <calculatedColumnFormula>J3^2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A8C05D-147A-4D8A-AD01-905FAA328F84}" name="Table1345" displayName="Table1345" ref="B2:L10" totalsRowCount="1">
  <autoFilter ref="B2:L9" xr:uid="{17A8C05D-147A-4D8A-AD01-905FAA328F84}"/>
  <tableColumns count="11">
    <tableColumn id="1" xr3:uid="{7B9DF78F-DA36-4F6E-8F77-838A08A0749F}" name="i" totalsRowFunction="count"/>
    <tableColumn id="2" xr3:uid="{A9DC2C53-24B6-4573-BBD1-6EEAD6D95DF4}" name="x" totalsRowFunction="sum"/>
    <tableColumn id="3" xr3:uid="{00C623E7-3FD8-4E99-8D2F-EF1A9536988E}" name="y" totalsRowFunction="sum"/>
    <tableColumn id="4" xr3:uid="{18FC4D21-F5AD-4244-A73C-ACEA99FCFE82}" name="1/x" totalsRowFunction="sum" dataDxfId="1">
      <calculatedColumnFormula>1/Table1345[[#This Row],[x]]</calculatedColumnFormula>
    </tableColumn>
    <tableColumn id="11" xr3:uid="{6590E625-F12D-4CD9-8B38-270116F72FDF}" name="1/x^2" totalsRowFunction="sum" dataDxfId="6">
      <calculatedColumnFormula>Table1345[[#This Row],[1/x]]^2</calculatedColumnFormula>
    </tableColumn>
    <tableColumn id="10" xr3:uid="{F7BC294E-B39B-4192-ADAD-D2E655F4DA77}" name="1/y" totalsRowFunction="sum" dataDxfId="0">
      <calculatedColumnFormula>1/Table1345[[#This Row],[y]]</calculatedColumnFormula>
    </tableColumn>
    <tableColumn id="5" xr3:uid="{40BC2F08-7B81-4551-8D7A-CED452A72BAA}" name="1/x*1/y" totalsRowFunction="sum" dataDxfId="5">
      <calculatedColumnFormula>Table1345[[#This Row],[1/x]]*Table1345[[#This Row],[1/y]]</calculatedColumnFormula>
    </tableColumn>
    <tableColumn id="6" xr3:uid="{C7B716B5-7C14-4692-BA3F-ACA995EEA5E1}" name="1/a + b/a*1/x" dataDxfId="4">
      <calculatedColumnFormula>$F$19+$F$20*Table1345[[#This Row],[1/x]]</calculatedColumnFormula>
    </tableColumn>
    <tableColumn id="7" xr3:uid="{9BA68F8F-92E9-46FF-A196-2C62FA1FF6CF}" name="err" dataDxfId="3">
      <calculatedColumnFormula>G3-I3</calculatedColumnFormula>
    </tableColumn>
    <tableColumn id="8" xr3:uid="{25CCED41-433A-45DF-A5D9-5A835E715627}" name="st" totalsRowFunction="sum" dataDxfId="2">
      <calculatedColumnFormula>(G3-$I$14)^2</calculatedColumnFormula>
    </tableColumn>
    <tableColumn id="9" xr3:uid="{D3BADD66-4B81-419E-8A5D-EF38B2AF9DE3}" name="sr" totalsRowFunction="sum">
      <calculatedColumnFormula>J3^2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ED88-6DA4-4367-B8B6-8D2F509C53A2}">
  <dimension ref="A2:K25"/>
  <sheetViews>
    <sheetView showGridLines="0" workbookViewId="0">
      <pane ySplit="2" topLeftCell="A3" activePane="bottomLeft" state="frozen"/>
      <selection pane="bottomLeft" activeCell="A29" sqref="A29"/>
    </sheetView>
  </sheetViews>
  <sheetFormatPr defaultRowHeight="15" x14ac:dyDescent="0.25"/>
  <cols>
    <col min="1" max="1" width="38.5703125" customWidth="1"/>
    <col min="2" max="2" width="8.140625" customWidth="1"/>
    <col min="3" max="3" width="11" customWidth="1"/>
    <col min="5" max="5" width="10.42578125" customWidth="1"/>
    <col min="10" max="10" width="16" customWidth="1"/>
  </cols>
  <sheetData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14</v>
      </c>
      <c r="I2" t="s">
        <v>6</v>
      </c>
      <c r="J2" t="s">
        <v>7</v>
      </c>
    </row>
    <row r="3" spans="1:10" x14ac:dyDescent="0.25">
      <c r="B3">
        <v>1</v>
      </c>
      <c r="C3">
        <v>10</v>
      </c>
      <c r="D3">
        <v>20</v>
      </c>
      <c r="E3">
        <f>C3^2</f>
        <v>100</v>
      </c>
      <c r="F3">
        <f>C3*D3</f>
        <v>200</v>
      </c>
      <c r="G3">
        <f>$F$20+$F$21*Table1[[#This Row],[x]]</f>
        <v>-25.833333333333826</v>
      </c>
      <c r="H3">
        <f>D3-G3</f>
        <v>45.833333333333826</v>
      </c>
      <c r="I3">
        <f t="shared" ref="I3:I10" si="0">(D3-$I$15)^2</f>
        <v>399266.015625</v>
      </c>
      <c r="J3">
        <f>H3^2</f>
        <v>2100.6944444444898</v>
      </c>
    </row>
    <row r="4" spans="1:10" x14ac:dyDescent="0.25">
      <c r="B4">
        <v>2</v>
      </c>
      <c r="C4">
        <v>20</v>
      </c>
      <c r="D4">
        <v>105</v>
      </c>
      <c r="E4">
        <f t="shared" ref="E4:E10" si="1">C4^2</f>
        <v>400</v>
      </c>
      <c r="F4">
        <f t="shared" ref="F4:F10" si="2">C4*D4</f>
        <v>2100</v>
      </c>
      <c r="G4">
        <f>$F$20+$F$21*Table1[[#This Row],[x]]</f>
        <v>167.79761904761858</v>
      </c>
      <c r="H4">
        <f t="shared" ref="H4:H10" si="3">D4-G4</f>
        <v>-62.797619047618582</v>
      </c>
      <c r="I4">
        <f t="shared" si="0"/>
        <v>299072.265625</v>
      </c>
      <c r="J4">
        <f t="shared" ref="J4:J10" si="4">H4^2</f>
        <v>3943.5409580498281</v>
      </c>
    </row>
    <row r="5" spans="1:10" x14ac:dyDescent="0.25">
      <c r="B5">
        <v>3</v>
      </c>
      <c r="C5">
        <v>30</v>
      </c>
      <c r="D5">
        <v>380</v>
      </c>
      <c r="E5">
        <f t="shared" si="1"/>
        <v>900</v>
      </c>
      <c r="F5">
        <f t="shared" si="2"/>
        <v>11400</v>
      </c>
      <c r="G5">
        <f>$F$20+$F$21*Table1[[#This Row],[x]]</f>
        <v>361.42857142857099</v>
      </c>
      <c r="H5">
        <f t="shared" si="3"/>
        <v>18.57142857142901</v>
      </c>
      <c r="I5">
        <f t="shared" si="0"/>
        <v>73916.015625</v>
      </c>
      <c r="J5">
        <f t="shared" si="4"/>
        <v>344.89795918368975</v>
      </c>
    </row>
    <row r="6" spans="1:10" x14ac:dyDescent="0.25">
      <c r="B6">
        <v>4</v>
      </c>
      <c r="C6">
        <v>40</v>
      </c>
      <c r="D6">
        <v>550</v>
      </c>
      <c r="E6">
        <f t="shared" si="1"/>
        <v>1600</v>
      </c>
      <c r="F6">
        <f t="shared" si="2"/>
        <v>22000</v>
      </c>
      <c r="G6">
        <f>$F$20+$F$21*Table1[[#This Row],[x]]</f>
        <v>555.0595238095234</v>
      </c>
      <c r="H6">
        <f t="shared" si="3"/>
        <v>-5.0595238095233981</v>
      </c>
      <c r="I6">
        <f t="shared" si="0"/>
        <v>10378.515625</v>
      </c>
      <c r="J6">
        <f t="shared" si="4"/>
        <v>25.598781179134157</v>
      </c>
    </row>
    <row r="7" spans="1:10" x14ac:dyDescent="0.25">
      <c r="B7">
        <v>5</v>
      </c>
      <c r="C7">
        <v>50</v>
      </c>
      <c r="D7">
        <v>720</v>
      </c>
      <c r="E7">
        <f t="shared" si="1"/>
        <v>2500</v>
      </c>
      <c r="F7">
        <f t="shared" si="2"/>
        <v>36000</v>
      </c>
      <c r="G7">
        <f>$F$20+$F$21*Table1[[#This Row],[x]]</f>
        <v>748.69047619047581</v>
      </c>
      <c r="H7">
        <f t="shared" si="3"/>
        <v>-28.690476190475806</v>
      </c>
      <c r="I7">
        <f t="shared" si="0"/>
        <v>4641.015625</v>
      </c>
      <c r="J7">
        <f t="shared" si="4"/>
        <v>823.14342403625915</v>
      </c>
    </row>
    <row r="8" spans="1:10" x14ac:dyDescent="0.25">
      <c r="B8">
        <v>6</v>
      </c>
      <c r="C8">
        <v>60</v>
      </c>
      <c r="D8">
        <v>1000</v>
      </c>
      <c r="E8">
        <f t="shared" si="1"/>
        <v>3600</v>
      </c>
      <c r="F8">
        <f t="shared" si="2"/>
        <v>60000</v>
      </c>
      <c r="G8">
        <f>$F$20+$F$21*Table1[[#This Row],[x]]</f>
        <v>942.32142857142821</v>
      </c>
      <c r="H8">
        <f t="shared" si="3"/>
        <v>57.678571428571786</v>
      </c>
      <c r="I8">
        <f t="shared" si="0"/>
        <v>121191.015625</v>
      </c>
      <c r="J8">
        <f t="shared" si="4"/>
        <v>3326.8176020408578</v>
      </c>
    </row>
    <row r="9" spans="1:10" x14ac:dyDescent="0.25">
      <c r="B9">
        <v>7</v>
      </c>
      <c r="C9">
        <v>70</v>
      </c>
      <c r="D9">
        <v>1090</v>
      </c>
      <c r="E9">
        <f t="shared" si="1"/>
        <v>4900</v>
      </c>
      <c r="F9">
        <f t="shared" si="2"/>
        <v>76300</v>
      </c>
      <c r="G9">
        <f>$F$20+$F$21*Table1[[#This Row],[x]]</f>
        <v>1135.9523809523807</v>
      </c>
      <c r="H9">
        <f t="shared" si="3"/>
        <v>-45.952380952380736</v>
      </c>
      <c r="I9">
        <f t="shared" si="0"/>
        <v>191953.515625</v>
      </c>
      <c r="J9">
        <f t="shared" si="4"/>
        <v>2111.6213151927241</v>
      </c>
    </row>
    <row r="10" spans="1:10" x14ac:dyDescent="0.25">
      <c r="B10">
        <v>8</v>
      </c>
      <c r="C10">
        <v>80</v>
      </c>
      <c r="D10">
        <v>1350</v>
      </c>
      <c r="E10">
        <f t="shared" si="1"/>
        <v>6400</v>
      </c>
      <c r="F10">
        <f t="shared" si="2"/>
        <v>108000</v>
      </c>
      <c r="G10">
        <f>$F$20+$F$21*Table1[[#This Row],[x]]</f>
        <v>1329.583333333333</v>
      </c>
      <c r="H10">
        <f t="shared" si="3"/>
        <v>20.41666666666697</v>
      </c>
      <c r="I10">
        <f t="shared" si="0"/>
        <v>487378.515625</v>
      </c>
      <c r="J10">
        <f t="shared" si="4"/>
        <v>416.84027777779016</v>
      </c>
    </row>
    <row r="11" spans="1:10" x14ac:dyDescent="0.25">
      <c r="B11">
        <f>SUBTOTAL(103,Table1[i])</f>
        <v>8</v>
      </c>
      <c r="C11">
        <f>SUBTOTAL(109,Table1[x])</f>
        <v>360</v>
      </c>
      <c r="D11">
        <f>SUBTOTAL(109,Table1[y])</f>
        <v>5215</v>
      </c>
      <c r="E11">
        <f>SUBTOTAL(109,Table1[x^2])</f>
        <v>20400</v>
      </c>
      <c r="F11">
        <f>SUBTOTAL(109,Table1[xy])</f>
        <v>316000</v>
      </c>
      <c r="I11">
        <f>SUBTOTAL(109,Table1[st])</f>
        <v>1587796.875</v>
      </c>
      <c r="J11">
        <f>SUBTOTAL(109,Table1[sr])</f>
        <v>13093.154761904772</v>
      </c>
    </row>
    <row r="13" spans="1:10" x14ac:dyDescent="0.25">
      <c r="A13" t="s">
        <v>8</v>
      </c>
    </row>
    <row r="14" spans="1:10" x14ac:dyDescent="0.25">
      <c r="B14" s="1" t="s">
        <v>17</v>
      </c>
      <c r="C14" s="1"/>
      <c r="D14" t="s">
        <v>15</v>
      </c>
      <c r="E14" s="4" t="s">
        <v>16</v>
      </c>
      <c r="F14" s="4"/>
    </row>
    <row r="15" spans="1:10" x14ac:dyDescent="0.25">
      <c r="B15" s="3">
        <f>Table1[[#Totals],[i]]</f>
        <v>8</v>
      </c>
      <c r="C15" s="3">
        <f>Table1[[#Totals],[x]]</f>
        <v>360</v>
      </c>
      <c r="E15" s="3">
        <f>D11</f>
        <v>5215</v>
      </c>
      <c r="H15" s="7" t="s">
        <v>19</v>
      </c>
      <c r="I15" s="3">
        <f>Table1[[#Totals],[y]]/Table1[[#Totals],[i]]</f>
        <v>651.875</v>
      </c>
    </row>
    <row r="16" spans="1:10" x14ac:dyDescent="0.25">
      <c r="B16" s="3">
        <f>Table1[[#Totals],[x]]</f>
        <v>360</v>
      </c>
      <c r="C16" s="3">
        <f>Table1[[#Totals],[x^2]]</f>
        <v>20400</v>
      </c>
      <c r="E16" s="3">
        <f>Table1[[#Totals],[xy]]</f>
        <v>316000</v>
      </c>
    </row>
    <row r="17" spans="1:11" x14ac:dyDescent="0.25">
      <c r="B17" s="2"/>
      <c r="C17" s="2"/>
      <c r="G17" s="2"/>
      <c r="H17" s="8" t="s">
        <v>20</v>
      </c>
      <c r="I17" s="3">
        <f>Table1[[#Totals],[st]]</f>
        <v>1587796.875</v>
      </c>
    </row>
    <row r="18" spans="1:11" x14ac:dyDescent="0.25">
      <c r="B18" s="2"/>
      <c r="C18" s="2"/>
      <c r="G18" s="2"/>
      <c r="H18" s="8" t="s">
        <v>21</v>
      </c>
      <c r="I18" s="3">
        <f>Table1[[#Totals],[sr]]</f>
        <v>13093.154761904772</v>
      </c>
    </row>
    <row r="19" spans="1:11" x14ac:dyDescent="0.25">
      <c r="B19" s="1" t="s">
        <v>13</v>
      </c>
      <c r="C19" s="1"/>
      <c r="E19" s="5" t="s">
        <v>18</v>
      </c>
      <c r="F19" s="5"/>
    </row>
    <row r="20" spans="1:11" x14ac:dyDescent="0.25">
      <c r="B20" s="3" cm="1">
        <f t="array" ref="B20:C21">MINVERSE(B15:C16)</f>
        <v>0.60714285714285687</v>
      </c>
      <c r="C20" s="3">
        <v>-1.0714285714285711E-2</v>
      </c>
      <c r="E20" s="3" t="s">
        <v>9</v>
      </c>
      <c r="F20" s="3" cm="1">
        <f t="array" ref="F20:F21">MMULT(_xlfn.ANCHORARRAY(B20),E15:E16)</f>
        <v>-219.46428571428623</v>
      </c>
      <c r="H20" s="7" t="s">
        <v>22</v>
      </c>
      <c r="I20" s="3">
        <f>SQRT((I17-I18)/I17)</f>
        <v>0.9958684077454214</v>
      </c>
    </row>
    <row r="21" spans="1:11" x14ac:dyDescent="0.25">
      <c r="B21" s="3">
        <v>-1.0714285714285709E-2</v>
      </c>
      <c r="C21" s="3">
        <v>2.3809523809523801E-4</v>
      </c>
      <c r="E21" s="3" t="s">
        <v>10</v>
      </c>
      <c r="F21" s="3">
        <v>19.363095238095241</v>
      </c>
    </row>
    <row r="22" spans="1:11" x14ac:dyDescent="0.25">
      <c r="H22" s="9" t="s">
        <v>23</v>
      </c>
      <c r="I22" t="s">
        <v>5</v>
      </c>
    </row>
    <row r="23" spans="1:11" x14ac:dyDescent="0.25">
      <c r="H23" s="3" t="s">
        <v>23</v>
      </c>
      <c r="I23" s="10" t="str">
        <f>ROUND(F20,3)&amp;"+"&amp;ROUND(F21,3)&amp;"x"</f>
        <v>-219,464+19,363x</v>
      </c>
      <c r="J23" s="11"/>
      <c r="K23" s="12"/>
    </row>
    <row r="24" spans="1:11" x14ac:dyDescent="0.25">
      <c r="A24" t="s">
        <v>11</v>
      </c>
    </row>
    <row r="25" spans="1:11" x14ac:dyDescent="0.25">
      <c r="A25" t="s">
        <v>12</v>
      </c>
    </row>
  </sheetData>
  <mergeCells count="4">
    <mergeCell ref="B14:C14"/>
    <mergeCell ref="B19:C19"/>
    <mergeCell ref="E19:F19"/>
    <mergeCell ref="I23:J2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9911-46A7-4F00-BE34-D249CDAD04C1}">
  <dimension ref="A2:K24"/>
  <sheetViews>
    <sheetView showGridLines="0" workbookViewId="0">
      <selection activeCell="M10" sqref="M10"/>
    </sheetView>
  </sheetViews>
  <sheetFormatPr defaultRowHeight="15" x14ac:dyDescent="0.25"/>
  <cols>
    <col min="1" max="1" width="38.5703125" customWidth="1"/>
    <col min="2" max="2" width="8.140625" customWidth="1"/>
    <col min="3" max="3" width="11" customWidth="1"/>
    <col min="5" max="5" width="10.42578125" customWidth="1"/>
    <col min="10" max="10" width="16" customWidth="1"/>
  </cols>
  <sheetData>
    <row r="2" spans="1:11" x14ac:dyDescent="0.25">
      <c r="B2" t="s">
        <v>0</v>
      </c>
      <c r="C2" t="s">
        <v>1</v>
      </c>
      <c r="D2" t="s">
        <v>2</v>
      </c>
      <c r="E2" t="s">
        <v>3</v>
      </c>
      <c r="F2" t="s">
        <v>24</v>
      </c>
      <c r="G2" t="s">
        <v>25</v>
      </c>
      <c r="H2" t="s">
        <v>5</v>
      </c>
      <c r="I2" t="s">
        <v>14</v>
      </c>
      <c r="J2" t="s">
        <v>6</v>
      </c>
      <c r="K2" t="s">
        <v>7</v>
      </c>
    </row>
    <row r="3" spans="1:11" x14ac:dyDescent="0.25">
      <c r="B3">
        <v>1</v>
      </c>
      <c r="C3">
        <v>0</v>
      </c>
      <c r="D3">
        <v>78.7</v>
      </c>
      <c r="E3">
        <f>C3^2</f>
        <v>0</v>
      </c>
      <c r="F3">
        <f>LN(Table13[[#This Row],[y]])</f>
        <v>4.3656431554233572</v>
      </c>
      <c r="G3">
        <f t="shared" ref="G3:G9" si="0">C3*LN(D3)</f>
        <v>0</v>
      </c>
      <c r="H3">
        <f>$F$19+$F$20*Table13[[#This Row],[x]]</f>
        <v>4.3457101424871221</v>
      </c>
      <c r="I3">
        <f t="shared" ref="I3:I9" si="1">F3-H3</f>
        <v>1.9933012936235173E-2</v>
      </c>
      <c r="J3">
        <f t="shared" ref="J3:J9" si="2">(F3-$I$14)^2</f>
        <v>0.14086225423630958</v>
      </c>
      <c r="K3">
        <f>I3^2</f>
        <v>3.9732500471611874E-4</v>
      </c>
    </row>
    <row r="4" spans="1:11" x14ac:dyDescent="0.25">
      <c r="B4">
        <v>2</v>
      </c>
      <c r="C4">
        <v>5</v>
      </c>
      <c r="D4">
        <v>71.599999999999994</v>
      </c>
      <c r="E4">
        <f t="shared" ref="E4:E9" si="3">C4^2</f>
        <v>25</v>
      </c>
      <c r="F4">
        <f>LN(Table13[[#This Row],[y]])</f>
        <v>4.2710950739665998</v>
      </c>
      <c r="G4">
        <f t="shared" si="0"/>
        <v>21.355475369832998</v>
      </c>
      <c r="H4">
        <f>$F$19+$F$20*Table13[[#This Row],[x]]</f>
        <v>4.2698661684287167</v>
      </c>
      <c r="I4">
        <f t="shared" si="1"/>
        <v>1.2289055378831293E-3</v>
      </c>
      <c r="J4">
        <f t="shared" si="2"/>
        <v>7.8830739572564937E-2</v>
      </c>
      <c r="K4">
        <f t="shared" ref="K4:K9" si="4">I4^2</f>
        <v>1.5102088210398233E-6</v>
      </c>
    </row>
    <row r="5" spans="1:11" x14ac:dyDescent="0.25">
      <c r="B5">
        <v>3</v>
      </c>
      <c r="C5">
        <v>11</v>
      </c>
      <c r="D5">
        <v>65</v>
      </c>
      <c r="E5">
        <f t="shared" si="3"/>
        <v>121</v>
      </c>
      <c r="F5">
        <f>LN(Table13[[#This Row],[y]])</f>
        <v>4.1743872698956368</v>
      </c>
      <c r="G5">
        <f t="shared" si="0"/>
        <v>45.918259968852006</v>
      </c>
      <c r="H5">
        <f>$F$19+$F$20*Table13[[#This Row],[x]]</f>
        <v>4.1788533995586308</v>
      </c>
      <c r="I5">
        <f t="shared" si="1"/>
        <v>-4.4661296629939784E-3</v>
      </c>
      <c r="J5">
        <f t="shared" si="2"/>
        <v>3.3878201449791603E-2</v>
      </c>
      <c r="K5">
        <f t="shared" si="4"/>
        <v>1.9946314166674706E-5</v>
      </c>
    </row>
    <row r="6" spans="1:11" x14ac:dyDescent="0.25">
      <c r="B6">
        <v>4</v>
      </c>
      <c r="C6">
        <v>22</v>
      </c>
      <c r="D6">
        <v>54.2</v>
      </c>
      <c r="E6">
        <f t="shared" si="3"/>
        <v>484</v>
      </c>
      <c r="F6">
        <f>LN(Table13[[#This Row],[y]])</f>
        <v>3.9926809084456005</v>
      </c>
      <c r="G6">
        <f t="shared" si="0"/>
        <v>87.838979985803206</v>
      </c>
      <c r="H6">
        <f>$F$19+$F$20*Table13[[#This Row],[x]]</f>
        <v>4.0119966566301395</v>
      </c>
      <c r="I6">
        <f t="shared" si="1"/>
        <v>-1.9315748184538961E-2</v>
      </c>
      <c r="J6">
        <f t="shared" si="2"/>
        <v>5.5411215108880917E-6</v>
      </c>
      <c r="K6">
        <f t="shared" si="4"/>
        <v>3.7309812792852019E-4</v>
      </c>
    </row>
    <row r="7" spans="1:11" x14ac:dyDescent="0.25">
      <c r="B7">
        <v>5</v>
      </c>
      <c r="C7">
        <v>34</v>
      </c>
      <c r="D7">
        <v>45.1</v>
      </c>
      <c r="E7">
        <f t="shared" si="3"/>
        <v>1156</v>
      </c>
      <c r="F7">
        <f>LN(Table13[[#This Row],[y]])</f>
        <v>3.8088822465086327</v>
      </c>
      <c r="G7">
        <f t="shared" si="0"/>
        <v>129.50199638129351</v>
      </c>
      <c r="H7">
        <f>$F$19+$F$20*Table13[[#This Row],[x]]</f>
        <v>3.8299711188899668</v>
      </c>
      <c r="I7">
        <f t="shared" si="1"/>
        <v>-2.1088872381334056E-2</v>
      </c>
      <c r="J7">
        <f t="shared" si="2"/>
        <v>3.292218033663754E-2</v>
      </c>
      <c r="K7">
        <f t="shared" si="4"/>
        <v>4.4474053831619436E-4</v>
      </c>
    </row>
    <row r="8" spans="1:11" x14ac:dyDescent="0.25">
      <c r="B8">
        <v>6</v>
      </c>
      <c r="C8">
        <v>42</v>
      </c>
      <c r="D8">
        <v>40.799999999999997</v>
      </c>
      <c r="E8">
        <f t="shared" si="3"/>
        <v>1764</v>
      </c>
      <c r="F8">
        <f>LN(Table13[[#This Row],[y]])</f>
        <v>3.708682081410116</v>
      </c>
      <c r="G8">
        <f t="shared" si="0"/>
        <v>155.76464741922487</v>
      </c>
      <c r="H8">
        <f>$F$19+$F$20*Table13[[#This Row],[x]]</f>
        <v>3.7086207603965184</v>
      </c>
      <c r="I8">
        <f t="shared" si="1"/>
        <v>6.1321013597570584E-5</v>
      </c>
      <c r="J8">
        <f t="shared" si="2"/>
        <v>7.9323831865744737E-2</v>
      </c>
      <c r="K8">
        <f t="shared" si="4"/>
        <v>3.7602667086334363E-9</v>
      </c>
    </row>
    <row r="9" spans="1:11" x14ac:dyDescent="0.25">
      <c r="B9">
        <v>7</v>
      </c>
      <c r="C9">
        <v>50</v>
      </c>
      <c r="D9">
        <v>37</v>
      </c>
      <c r="E9">
        <f t="shared" si="3"/>
        <v>2500</v>
      </c>
      <c r="F9">
        <f>LN(Table13[[#This Row],[y]])</f>
        <v>3.6109179126442243</v>
      </c>
      <c r="G9">
        <f t="shared" si="0"/>
        <v>180.54589563221123</v>
      </c>
      <c r="H9">
        <f>$F$19+$F$20*Table13[[#This Row],[x]]</f>
        <v>3.5872704019030701</v>
      </c>
      <c r="I9">
        <f t="shared" si="1"/>
        <v>2.3647510741154232E-2</v>
      </c>
      <c r="J9">
        <f t="shared" si="2"/>
        <v>0.1439512174423197</v>
      </c>
      <c r="K9">
        <f t="shared" si="4"/>
        <v>5.5920476425300473E-4</v>
      </c>
    </row>
    <row r="10" spans="1:11" x14ac:dyDescent="0.25">
      <c r="B10">
        <f>SUBTOTAL(103,Table13[i])</f>
        <v>7</v>
      </c>
      <c r="C10">
        <f>SUBTOTAL(109,Table13[x])</f>
        <v>164</v>
      </c>
      <c r="D10">
        <f>SUBTOTAL(109,Table13[y])</f>
        <v>392.40000000000003</v>
      </c>
      <c r="E10">
        <f>SUBTOTAL(109,Table13[x^2])</f>
        <v>6050</v>
      </c>
      <c r="F10">
        <f>SUBTOTAL(109,Table13[ln(y)])</f>
        <v>27.932288648294168</v>
      </c>
      <c r="G10">
        <f>SUBTOTAL(109,Table13[x*ln(y)])</f>
        <v>620.92525475721777</v>
      </c>
      <c r="J10">
        <f>SUBTOTAL(109,Table13[st])</f>
        <v>0.50977396602487901</v>
      </c>
      <c r="K10">
        <f>SUBTOTAL(109,Table13[sr])</f>
        <v>1.7958287184682612E-3</v>
      </c>
    </row>
    <row r="13" spans="1:11" x14ac:dyDescent="0.25">
      <c r="A13" t="s">
        <v>8</v>
      </c>
      <c r="B13" s="1" t="s">
        <v>17</v>
      </c>
      <c r="C13" s="1"/>
      <c r="D13" t="s">
        <v>15</v>
      </c>
      <c r="E13" s="4" t="s">
        <v>16</v>
      </c>
      <c r="F13" s="4"/>
    </row>
    <row r="14" spans="1:11" x14ac:dyDescent="0.25">
      <c r="B14" s="3">
        <f>Table13[[#Totals],[i]]</f>
        <v>7</v>
      </c>
      <c r="C14" s="3">
        <f>Table13[[#Totals],[x]]</f>
        <v>164</v>
      </c>
      <c r="E14" s="3">
        <f>Table13[[#Totals],[ln(y)]]</f>
        <v>27.932288648294168</v>
      </c>
      <c r="H14" s="7" t="s">
        <v>19</v>
      </c>
      <c r="I14" s="3">
        <f>Table13[[#Totals],[ln(y)]]/Table13[[#Totals],[i]]</f>
        <v>3.9903269497563096</v>
      </c>
    </row>
    <row r="15" spans="1:11" x14ac:dyDescent="0.25">
      <c r="B15" s="3">
        <f>Table13[[#Totals],[x]]</f>
        <v>164</v>
      </c>
      <c r="C15" s="3">
        <f>Table13[[#Totals],[x^2]]</f>
        <v>6050</v>
      </c>
      <c r="E15" s="3">
        <f>Table13[[#Totals],[x*ln(y)]]</f>
        <v>620.92525475721777</v>
      </c>
    </row>
    <row r="16" spans="1:11" x14ac:dyDescent="0.25">
      <c r="B16" s="2"/>
      <c r="C16" s="2"/>
      <c r="G16" s="2"/>
      <c r="H16" s="8" t="s">
        <v>20</v>
      </c>
      <c r="I16" s="3">
        <f>Table13[[#Totals],[st]]</f>
        <v>0.50977396602487901</v>
      </c>
    </row>
    <row r="17" spans="2:11" x14ac:dyDescent="0.25">
      <c r="B17" s="2"/>
      <c r="C17" s="2"/>
      <c r="G17" s="2"/>
      <c r="H17" s="8" t="s">
        <v>21</v>
      </c>
      <c r="I17" s="3">
        <f>Table13[[#Totals],[sr]]</f>
        <v>1.7958287184682612E-3</v>
      </c>
    </row>
    <row r="18" spans="2:11" x14ac:dyDescent="0.25">
      <c r="B18" s="1" t="s">
        <v>13</v>
      </c>
      <c r="C18" s="1"/>
      <c r="E18" s="5" t="s">
        <v>26</v>
      </c>
      <c r="F18" s="5"/>
    </row>
    <row r="19" spans="2:11" x14ac:dyDescent="0.25">
      <c r="B19" s="3" cm="1">
        <f t="array" ref="B19:C20">MINVERSE(B14:C15)</f>
        <v>0.39148440533195283</v>
      </c>
      <c r="C19" s="3">
        <v>-1.0612139251973598E-2</v>
      </c>
      <c r="E19" s="3" t="s">
        <v>27</v>
      </c>
      <c r="F19" s="3" cm="1">
        <f t="array" ref="F19:F20">MMULT(_xlfn.ANCHORARRAY(B19),E14:E15)</f>
        <v>4.3457101424871221</v>
      </c>
      <c r="H19" s="7" t="s">
        <v>22</v>
      </c>
      <c r="I19" s="3">
        <f>SQRT((I16-I17)/I16)</f>
        <v>0.99823704895315457</v>
      </c>
    </row>
    <row r="20" spans="2:11" x14ac:dyDescent="0.25">
      <c r="B20" s="3">
        <v>-1.0612139251973598E-2</v>
      </c>
      <c r="C20" s="3">
        <v>4.5295716319399503E-4</v>
      </c>
      <c r="E20" s="3" t="s">
        <v>10</v>
      </c>
      <c r="F20" s="3">
        <v>-1.5168794811681041E-2</v>
      </c>
    </row>
    <row r="21" spans="2:11" x14ac:dyDescent="0.25">
      <c r="H21" s="9" t="s">
        <v>23</v>
      </c>
      <c r="I21" t="s">
        <v>5</v>
      </c>
    </row>
    <row r="22" spans="2:11" x14ac:dyDescent="0.25">
      <c r="H22" s="3" t="s">
        <v>23</v>
      </c>
      <c r="I22" s="10" t="str">
        <f>ROUND(F19,3)&amp;"+"&amp;ROUND(F20,3)&amp;"x"</f>
        <v>4,346+-0,015x</v>
      </c>
      <c r="J22" s="11"/>
    </row>
    <row r="23" spans="2:11" x14ac:dyDescent="0.25">
      <c r="H23" s="9" t="s">
        <v>23</v>
      </c>
      <c r="I23" t="s">
        <v>28</v>
      </c>
      <c r="K23" s="12"/>
    </row>
    <row r="24" spans="2:11" x14ac:dyDescent="0.25">
      <c r="H24" s="13" t="s">
        <v>23</v>
      </c>
      <c r="I24" t="str">
        <f>ROUND(EXP(F19),3)&amp;"e"&amp;"^"&amp; ROUND(F20,3)&amp;"x"</f>
        <v>77,147e^-0,015x</v>
      </c>
    </row>
  </sheetData>
  <mergeCells count="4">
    <mergeCell ref="B13:C13"/>
    <mergeCell ref="B18:C18"/>
    <mergeCell ref="E18:F18"/>
    <mergeCell ref="I22:J22"/>
  </mergeCells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ABDC-68F3-47EF-8BCB-A53FA0052139}">
  <dimension ref="A2:L21"/>
  <sheetViews>
    <sheetView showGridLines="0" tabSelected="1" zoomScaleNormal="100" workbookViewId="0">
      <selection activeCell="G10" sqref="G10"/>
    </sheetView>
  </sheetViews>
  <sheetFormatPr defaultRowHeight="15" x14ac:dyDescent="0.25"/>
  <cols>
    <col min="1" max="1" width="52.42578125" customWidth="1"/>
    <col min="2" max="2" width="8.140625" customWidth="1"/>
    <col min="3" max="3" width="11" customWidth="1"/>
    <col min="5" max="5" width="10.42578125" customWidth="1"/>
    <col min="8" max="8" width="16.42578125" customWidth="1"/>
    <col min="10" max="10" width="16" customWidth="1"/>
  </cols>
  <sheetData>
    <row r="2" spans="1:12" x14ac:dyDescent="0.25">
      <c r="B2" t="s">
        <v>0</v>
      </c>
      <c r="C2" t="s">
        <v>1</v>
      </c>
      <c r="D2" t="s">
        <v>2</v>
      </c>
      <c r="E2" t="s">
        <v>29</v>
      </c>
      <c r="F2" t="s">
        <v>30</v>
      </c>
      <c r="G2" t="s">
        <v>31</v>
      </c>
      <c r="H2" t="s">
        <v>32</v>
      </c>
      <c r="I2" t="s">
        <v>35</v>
      </c>
      <c r="J2" t="s">
        <v>14</v>
      </c>
      <c r="K2" t="s">
        <v>6</v>
      </c>
      <c r="L2" t="s">
        <v>7</v>
      </c>
    </row>
    <row r="3" spans="1:12" x14ac:dyDescent="0.25">
      <c r="B3">
        <v>1</v>
      </c>
      <c r="C3">
        <v>1</v>
      </c>
      <c r="D3">
        <v>0.5</v>
      </c>
      <c r="E3">
        <f>LOG(Table134[[#This Row],[x]])</f>
        <v>0</v>
      </c>
      <c r="F3">
        <f>Table134[[#This Row],[log(x)]]^2</f>
        <v>0</v>
      </c>
      <c r="G3">
        <f>LOG(Table134[[#This Row],[y]])</f>
        <v>-0.3010299956639812</v>
      </c>
      <c r="H3">
        <f>Table134[[#This Row],[log(x)]]*Table134[[#This Row],[log(y)]]</f>
        <v>0</v>
      </c>
      <c r="I3">
        <f>$F$17+$F$18*Table134[[#This Row],[log(x)]]</f>
        <v>-0.30021979456993098</v>
      </c>
      <c r="J3">
        <f t="shared" ref="J3:J7" si="0">G3-I3</f>
        <v>-8.1020109405022245E-4</v>
      </c>
      <c r="K3">
        <f>(G3-$I$12)^2</f>
        <v>0.53179155014422097</v>
      </c>
      <c r="L3">
        <f>J3^2</f>
        <v>6.5642581280017742E-7</v>
      </c>
    </row>
    <row r="4" spans="1:12" x14ac:dyDescent="0.25">
      <c r="B4">
        <v>2</v>
      </c>
      <c r="C4">
        <v>2</v>
      </c>
      <c r="D4">
        <v>1.7</v>
      </c>
      <c r="E4">
        <f>LOG(Table134[[#This Row],[x]])</f>
        <v>0.3010299956639812</v>
      </c>
      <c r="F4">
        <f>Table134[[#This Row],[log(x)]]^2</f>
        <v>9.0619058289456544E-2</v>
      </c>
      <c r="G4">
        <f>LOG(Table134[[#This Row],[y]])</f>
        <v>0.23044892137827391</v>
      </c>
      <c r="H4">
        <f>Table134[[#This Row],[log(x)]]*Table134[[#This Row],[log(y)]]</f>
        <v>6.9372037803270933E-2</v>
      </c>
      <c r="I4">
        <f>$F$17+$F$18*Table134[[#This Row],[log(x)]]</f>
        <v>0.22710156761528999</v>
      </c>
      <c r="J4">
        <f t="shared" si="0"/>
        <v>3.3473537629839234E-3</v>
      </c>
      <c r="K4">
        <f>(G4-$I$12)^2</f>
        <v>3.910960119981207E-2</v>
      </c>
      <c r="L4">
        <f t="shared" ref="L4:L7" si="1">J4^2</f>
        <v>1.1204777214562633E-5</v>
      </c>
    </row>
    <row r="5" spans="1:12" x14ac:dyDescent="0.25">
      <c r="B5">
        <v>3</v>
      </c>
      <c r="C5">
        <v>3</v>
      </c>
      <c r="D5">
        <v>3.4</v>
      </c>
      <c r="E5">
        <f>LOG(Table134[[#This Row],[x]])</f>
        <v>0.47712125471966244</v>
      </c>
      <c r="F5">
        <f>Table134[[#This Row],[log(x)]]^2</f>
        <v>0.227644691705265</v>
      </c>
      <c r="G5">
        <f>LOG(Table134[[#This Row],[y]])</f>
        <v>0.53147891704225514</v>
      </c>
      <c r="H5">
        <f>Table134[[#This Row],[log(x)]]*Table134[[#This Row],[log(y)]]</f>
        <v>0.25357988775624818</v>
      </c>
      <c r="I5">
        <f>$F$17+$F$18*Table134[[#This Row],[log(x)]]</f>
        <v>0.53556479032284343</v>
      </c>
      <c r="J5">
        <f t="shared" si="0"/>
        <v>-4.0858732805882925E-3</v>
      </c>
      <c r="K5">
        <f>(G5-$I$12)^2</f>
        <v>1.0664387252746387E-2</v>
      </c>
      <c r="L5">
        <f t="shared" si="1"/>
        <v>1.6694360465025335E-5</v>
      </c>
    </row>
    <row r="6" spans="1:12" x14ac:dyDescent="0.25">
      <c r="B6">
        <v>4</v>
      </c>
      <c r="C6">
        <v>4</v>
      </c>
      <c r="D6">
        <v>5.7</v>
      </c>
      <c r="E6">
        <f>LOG(Table134[[#This Row],[x]])</f>
        <v>0.6020599913279624</v>
      </c>
      <c r="F6">
        <f>Table134[[#This Row],[log(x)]]^2</f>
        <v>0.36247623315782618</v>
      </c>
      <c r="G6">
        <f>LOG(Table134[[#This Row],[y]])</f>
        <v>0.75587485567249146</v>
      </c>
      <c r="H6">
        <f>Table134[[#This Row],[log(x)]]*Table134[[#This Row],[log(y)]]</f>
        <v>0.45508200905120505</v>
      </c>
      <c r="I6">
        <f>$F$17+$F$18*Table134[[#This Row],[log(x)]]</f>
        <v>0.75442292980051096</v>
      </c>
      <c r="J6">
        <f t="shared" si="0"/>
        <v>1.4519258719805084E-3</v>
      </c>
      <c r="K6">
        <f>(G6-$I$12)^2</f>
        <v>0.10736399754385971</v>
      </c>
      <c r="L6">
        <f t="shared" si="1"/>
        <v>2.1080887377263594E-6</v>
      </c>
    </row>
    <row r="7" spans="1:12" x14ac:dyDescent="0.25">
      <c r="B7">
        <v>5</v>
      </c>
      <c r="C7">
        <v>5</v>
      </c>
      <c r="D7">
        <v>8.4</v>
      </c>
      <c r="E7">
        <f>LOG(Table134[[#This Row],[x]])</f>
        <v>0.69897000433601886</v>
      </c>
      <c r="F7">
        <f>Table134[[#This Row],[log(x)]]^2</f>
        <v>0.4885590669614942</v>
      </c>
      <c r="G7">
        <f>LOG(Table134[[#This Row],[y]])</f>
        <v>0.9242792860618817</v>
      </c>
      <c r="H7">
        <f>Table134[[#This Row],[log(x)]]*Table134[[#This Row],[log(y)]]</f>
        <v>0.64604349658636584</v>
      </c>
      <c r="I7">
        <f>$F$17+$F$18*Table134[[#This Row],[log(x)]]</f>
        <v>0.92418249132220809</v>
      </c>
      <c r="J7">
        <f t="shared" si="0"/>
        <v>9.6794739673611296E-5</v>
      </c>
      <c r="K7">
        <f>(G7-$I$12)^2</f>
        <v>0.2460843427961048</v>
      </c>
      <c r="L7">
        <f t="shared" si="1"/>
        <v>9.3692216284821799E-9</v>
      </c>
    </row>
    <row r="8" spans="1:12" x14ac:dyDescent="0.25">
      <c r="B8">
        <f>SUBTOTAL(103,Table134[i])</f>
        <v>5</v>
      </c>
      <c r="C8">
        <f>SUBTOTAL(109,Table134[x])</f>
        <v>15</v>
      </c>
      <c r="D8">
        <f>SUBTOTAL(109,Table134[y])</f>
        <v>19.700000000000003</v>
      </c>
      <c r="E8">
        <f>SUBTOTAL(109,Table134[log(x)])</f>
        <v>2.0791812460476247</v>
      </c>
      <c r="F8">
        <f>SUBTOTAL(109,Table134[log(x)^2])</f>
        <v>1.1692990501140419</v>
      </c>
      <c r="G8">
        <f>SUBTOTAL(109,Table134[log(y)])</f>
        <v>2.1410519844909208</v>
      </c>
      <c r="H8">
        <f>SUBTOTAL(109,Table134[log(x)*log(y)])</f>
        <v>1.4240774311970901</v>
      </c>
      <c r="K8">
        <f>SUBTOTAL(109,Table134[st])</f>
        <v>0.93501387893674404</v>
      </c>
      <c r="L8">
        <f>SUBTOTAL(109,Table134[sr])</f>
        <v>3.0673021451742993E-5</v>
      </c>
    </row>
    <row r="11" spans="1:12" x14ac:dyDescent="0.25">
      <c r="B11" s="1" t="s">
        <v>17</v>
      </c>
      <c r="C11" s="1"/>
      <c r="D11" t="s">
        <v>15</v>
      </c>
      <c r="E11" s="4" t="s">
        <v>16</v>
      </c>
      <c r="F11" s="4"/>
    </row>
    <row r="12" spans="1:12" x14ac:dyDescent="0.25">
      <c r="B12" s="3">
        <f>Table134[[#Totals],[i]]</f>
        <v>5</v>
      </c>
      <c r="C12" s="3">
        <f>Table134[[#Totals],[log(x)]]</f>
        <v>2.0791812460476247</v>
      </c>
      <c r="E12" s="3">
        <f>Table134[[#Totals],[log(y)]]</f>
        <v>2.1410519844909208</v>
      </c>
      <c r="H12" s="7" t="s">
        <v>19</v>
      </c>
      <c r="I12" s="3">
        <f>Table134[[#Totals],[log(y)]]/Table134[[#Totals],[i]]</f>
        <v>0.42821039689818419</v>
      </c>
    </row>
    <row r="13" spans="1:12" x14ac:dyDescent="0.25">
      <c r="A13" t="s">
        <v>8</v>
      </c>
      <c r="B13" s="3">
        <f>Table134[[#Totals],[log(x)]]</f>
        <v>2.0791812460476247</v>
      </c>
      <c r="C13" s="3">
        <f>Table134[[#Totals],[log(x)^2]]</f>
        <v>1.1692990501140419</v>
      </c>
      <c r="E13" s="3">
        <f>Table134[[#Totals],[log(x)*log(y)]]</f>
        <v>1.4240774311970901</v>
      </c>
    </row>
    <row r="14" spans="1:12" x14ac:dyDescent="0.25">
      <c r="B14" s="2"/>
      <c r="C14" s="2"/>
      <c r="G14" s="2"/>
      <c r="H14" s="8" t="s">
        <v>20</v>
      </c>
      <c r="I14" s="3">
        <f>Table134[[#Totals],[st]]</f>
        <v>0.93501387893674404</v>
      </c>
    </row>
    <row r="15" spans="1:12" x14ac:dyDescent="0.25">
      <c r="B15" s="2"/>
      <c r="C15" s="2"/>
      <c r="G15" s="2"/>
      <c r="H15" s="8" t="s">
        <v>21</v>
      </c>
      <c r="I15" s="3">
        <f>Table134[[#Totals],[sr]]</f>
        <v>3.0673021451742993E-5</v>
      </c>
    </row>
    <row r="16" spans="1:12" x14ac:dyDescent="0.25">
      <c r="B16" s="1" t="s">
        <v>13</v>
      </c>
      <c r="C16" s="1"/>
      <c r="E16" s="5" t="s">
        <v>33</v>
      </c>
      <c r="F16" s="5"/>
    </row>
    <row r="17" spans="2:11" x14ac:dyDescent="0.25">
      <c r="B17" s="3" cm="1">
        <f t="array" ref="B17:C18">MINVERSE(B12:C13)</f>
        <v>0.76750810119935686</v>
      </c>
      <c r="C17" s="3">
        <v>-1.364739371034029</v>
      </c>
      <c r="E17" s="3" t="s">
        <v>34</v>
      </c>
      <c r="F17" s="3" cm="1">
        <f t="array" ref="F17:F18">MMULT(_xlfn.ANCHORARRAY(B17),E12:E13)</f>
        <v>-0.30021979456993098</v>
      </c>
      <c r="H17" s="7" t="s">
        <v>22</v>
      </c>
      <c r="I17" s="3">
        <f>SQRT((I14-I15)/I14)</f>
        <v>0.9999835974236837</v>
      </c>
    </row>
    <row r="18" spans="2:11" x14ac:dyDescent="0.25">
      <c r="B18" s="3">
        <v>-1.3647393710340292</v>
      </c>
      <c r="C18" s="3">
        <v>3.2819153540084622</v>
      </c>
      <c r="E18" s="3" t="s">
        <v>10</v>
      </c>
      <c r="F18" s="3">
        <v>1.7517236480773599</v>
      </c>
    </row>
    <row r="19" spans="2:11" x14ac:dyDescent="0.25">
      <c r="H19" s="9" t="s">
        <v>23</v>
      </c>
      <c r="I19" t="s">
        <v>9</v>
      </c>
      <c r="J19">
        <f>10^F17</f>
        <v>0.50093364909774885</v>
      </c>
    </row>
    <row r="20" spans="2:11" x14ac:dyDescent="0.25">
      <c r="H20" s="8" t="s">
        <v>23</v>
      </c>
      <c r="I20" s="3" t="s">
        <v>36</v>
      </c>
    </row>
    <row r="21" spans="2:11" x14ac:dyDescent="0.25">
      <c r="H21" s="6" t="s">
        <v>23</v>
      </c>
      <c r="I21" s="3" t="str">
        <f>ROUND(J19,3)&amp;"x"&amp;"^"&amp;ROUND(F18,3)</f>
        <v>0,501x^1,752</v>
      </c>
      <c r="K21" s="12"/>
    </row>
  </sheetData>
  <mergeCells count="3">
    <mergeCell ref="B11:C11"/>
    <mergeCell ref="B16:C16"/>
    <mergeCell ref="E16:F16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A52F-EC42-4137-8B87-5C5FB6AD671B}">
  <dimension ref="A2:L24"/>
  <sheetViews>
    <sheetView showGridLines="0" workbookViewId="0">
      <selection activeCell="A4" sqref="A4"/>
    </sheetView>
  </sheetViews>
  <sheetFormatPr defaultRowHeight="15" x14ac:dyDescent="0.25"/>
  <cols>
    <col min="1" max="1" width="52.42578125" customWidth="1"/>
    <col min="2" max="2" width="8.140625" customWidth="1"/>
    <col min="3" max="3" width="11" customWidth="1"/>
    <col min="5" max="5" width="10.42578125" customWidth="1"/>
    <col min="8" max="8" width="16.42578125" customWidth="1"/>
    <col min="10" max="10" width="16" customWidth="1"/>
  </cols>
  <sheetData>
    <row r="2" spans="1:12" x14ac:dyDescent="0.25">
      <c r="B2" t="s">
        <v>0</v>
      </c>
      <c r="C2" t="s">
        <v>1</v>
      </c>
      <c r="D2" t="s">
        <v>2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14</v>
      </c>
      <c r="K2" t="s">
        <v>6</v>
      </c>
      <c r="L2" t="s">
        <v>7</v>
      </c>
    </row>
    <row r="3" spans="1:12" x14ac:dyDescent="0.25">
      <c r="B3">
        <v>1</v>
      </c>
      <c r="C3" s="15">
        <v>0.1</v>
      </c>
      <c r="D3" s="17">
        <v>6</v>
      </c>
      <c r="E3">
        <f>1/Table1345[[#This Row],[x]]</f>
        <v>10</v>
      </c>
      <c r="F3">
        <f>Table1345[[#This Row],[1/x]]^2</f>
        <v>100</v>
      </c>
      <c r="G3">
        <f>1/Table1345[[#This Row],[y]]</f>
        <v>0.16666666666666666</v>
      </c>
      <c r="H3">
        <f>Table1345[[#This Row],[1/x]]*Table1345[[#This Row],[1/y]]</f>
        <v>1.6666666666666665</v>
      </c>
      <c r="I3">
        <f>$F$19+$F$20*Table1345[[#This Row],[1/x]]</f>
        <v>0.16907897016749901</v>
      </c>
      <c r="J3">
        <f t="shared" ref="J3:J9" si="0">G3-I3</f>
        <v>-2.4123035008323523E-3</v>
      </c>
      <c r="K3">
        <f>(G3-$I$14)^2</f>
        <v>6.9982389940228304E-4</v>
      </c>
      <c r="L3">
        <f>J3^2</f>
        <v>5.8192081801280228E-6</v>
      </c>
    </row>
    <row r="4" spans="1:12" x14ac:dyDescent="0.25">
      <c r="B4">
        <v>2</v>
      </c>
      <c r="C4" s="15">
        <v>0.15</v>
      </c>
      <c r="D4" s="17">
        <v>6.5</v>
      </c>
      <c r="E4">
        <f>1/Table1345[[#This Row],[x]]</f>
        <v>6.666666666666667</v>
      </c>
      <c r="F4">
        <f>Table1345[[#This Row],[1/x]]^2</f>
        <v>44.44444444444445</v>
      </c>
      <c r="G4">
        <f>1/Table1345[[#This Row],[y]]</f>
        <v>0.15384615384615385</v>
      </c>
      <c r="H4">
        <f>Table1345[[#This Row],[1/x]]*Table1345[[#This Row],[1/y]]</f>
        <v>1.0256410256410258</v>
      </c>
      <c r="I4">
        <f>$F$19+$F$20*Table1345[[#This Row],[1/x]]</f>
        <v>0.15018173660344386</v>
      </c>
      <c r="J4">
        <f t="shared" si="0"/>
        <v>3.6644172427099941E-3</v>
      </c>
      <c r="K4">
        <f>(G4-$I$14)^2</f>
        <v>1.8587701472087034E-4</v>
      </c>
      <c r="L4">
        <f t="shared" ref="L4:L9" si="1">J4^2</f>
        <v>1.3427953728670315E-5</v>
      </c>
    </row>
    <row r="5" spans="1:12" x14ac:dyDescent="0.25">
      <c r="B5">
        <v>3</v>
      </c>
      <c r="C5" s="15">
        <v>0.2</v>
      </c>
      <c r="D5" s="17">
        <v>7</v>
      </c>
      <c r="E5">
        <f>1/Table1345[[#This Row],[x]]</f>
        <v>5</v>
      </c>
      <c r="F5">
        <f>Table1345[[#This Row],[1/x]]^2</f>
        <v>25</v>
      </c>
      <c r="G5">
        <f>1/Table1345[[#This Row],[y]]</f>
        <v>0.14285714285714285</v>
      </c>
      <c r="H5">
        <f>Table1345[[#This Row],[1/x]]*Table1345[[#This Row],[1/y]]</f>
        <v>0.71428571428571419</v>
      </c>
      <c r="I5">
        <f>$F$19+$F$20*Table1345[[#This Row],[1/x]]</f>
        <v>0.14073311982141626</v>
      </c>
      <c r="J5">
        <f t="shared" si="0"/>
        <v>2.124023035726591E-3</v>
      </c>
      <c r="K5">
        <f>(G5-$I$14)^2</f>
        <v>6.9942323513487862E-6</v>
      </c>
      <c r="L5">
        <f t="shared" si="1"/>
        <v>4.5114738562972035E-6</v>
      </c>
    </row>
    <row r="6" spans="1:12" x14ac:dyDescent="0.25">
      <c r="B6">
        <v>4</v>
      </c>
      <c r="C6" s="15">
        <v>0.25</v>
      </c>
      <c r="D6" s="17">
        <v>7.5</v>
      </c>
      <c r="E6">
        <f>1/Table1345[[#This Row],[x]]</f>
        <v>4</v>
      </c>
      <c r="F6">
        <f>Table1345[[#This Row],[1/x]]^2</f>
        <v>16</v>
      </c>
      <c r="G6">
        <f>1/Table1345[[#This Row],[y]]</f>
        <v>0.13333333333333333</v>
      </c>
      <c r="H6">
        <f>Table1345[[#This Row],[1/x]]*Table1345[[#This Row],[1/y]]</f>
        <v>0.53333333333333333</v>
      </c>
      <c r="I6">
        <f>$F$19+$F$20*Table1345[[#This Row],[1/x]]</f>
        <v>0.13506394975219971</v>
      </c>
      <c r="J6">
        <f t="shared" si="0"/>
        <v>-1.7306164188663764E-3</v>
      </c>
      <c r="K6">
        <f>(G6-$I$14)^2</f>
        <v>4.7322682991292434E-5</v>
      </c>
      <c r="L6">
        <f t="shared" si="1"/>
        <v>2.9950331892498812E-6</v>
      </c>
    </row>
    <row r="7" spans="1:12" x14ac:dyDescent="0.25">
      <c r="B7">
        <v>5</v>
      </c>
      <c r="C7" s="15">
        <v>0.3</v>
      </c>
      <c r="D7" s="17">
        <v>7.6</v>
      </c>
      <c r="E7" s="14">
        <f>1/Table1345[[#This Row],[x]]</f>
        <v>3.3333333333333335</v>
      </c>
      <c r="F7" s="14">
        <f>Table1345[[#This Row],[1/x]]^2</f>
        <v>11.111111111111112</v>
      </c>
      <c r="G7" s="14">
        <f>1/Table1345[[#This Row],[y]]</f>
        <v>0.13157894736842105</v>
      </c>
      <c r="H7" s="14">
        <f>Table1345[[#This Row],[1/x]]*Table1345[[#This Row],[1/y]]</f>
        <v>0.43859649122807015</v>
      </c>
      <c r="I7" s="14">
        <f>$F$19+$F$20*Table1345[[#This Row],[1/x]]</f>
        <v>0.13128450303938868</v>
      </c>
      <c r="J7" s="14">
        <f>G7-I7</f>
        <v>2.9444432903236173E-4</v>
      </c>
      <c r="K7" s="14">
        <f>(G7-$I$14)^2</f>
        <v>7.4537915984127409E-5</v>
      </c>
      <c r="L7">
        <f>J7^2</f>
        <v>8.6697462899317691E-8</v>
      </c>
    </row>
    <row r="8" spans="1:12" x14ac:dyDescent="0.25">
      <c r="B8">
        <v>6</v>
      </c>
      <c r="C8" s="15">
        <v>0.35</v>
      </c>
      <c r="D8" s="17">
        <v>7.8</v>
      </c>
      <c r="E8" s="14">
        <f>1/Table1345[[#This Row],[x]]</f>
        <v>2.8571428571428572</v>
      </c>
      <c r="F8" s="14">
        <f>Table1345[[#This Row],[1/x]]^2</f>
        <v>8.1632653061224492</v>
      </c>
      <c r="G8" s="14">
        <f>1/Table1345[[#This Row],[y]]</f>
        <v>0.12820512820512822</v>
      </c>
      <c r="H8" s="14">
        <f>Table1345[[#This Row],[1/x]]*Table1345[[#This Row],[1/y]]</f>
        <v>0.36630036630036633</v>
      </c>
      <c r="I8" s="14">
        <f>$F$19+$F$20*Table1345[[#This Row],[1/x]]</f>
        <v>0.12858489824452365</v>
      </c>
      <c r="J8" s="14">
        <f>G8-I8</f>
        <v>-3.7977003939543286E-4</v>
      </c>
      <c r="K8" s="14">
        <f>(G8-$I$14)^2</f>
        <v>1.4417653924364446E-4</v>
      </c>
      <c r="L8">
        <f>J8^2</f>
        <v>1.4422528282240861E-7</v>
      </c>
    </row>
    <row r="9" spans="1:12" x14ac:dyDescent="0.25">
      <c r="B9">
        <v>7</v>
      </c>
      <c r="C9" s="15">
        <v>0.4</v>
      </c>
      <c r="D9" s="17">
        <v>8</v>
      </c>
      <c r="E9">
        <f>1/Table1345[[#This Row],[x]]</f>
        <v>2.5</v>
      </c>
      <c r="F9">
        <f>Table1345[[#This Row],[1/x]]^2</f>
        <v>6.25</v>
      </c>
      <c r="G9">
        <f>1/Table1345[[#This Row],[y]]</f>
        <v>0.125</v>
      </c>
      <c r="H9">
        <f>Table1345[[#This Row],[1/x]]*Table1345[[#This Row],[1/y]]</f>
        <v>0.3125</v>
      </c>
      <c r="I9">
        <f>$F$19+$F$20*Table1345[[#This Row],[1/x]]</f>
        <v>0.12656019464837487</v>
      </c>
      <c r="J9">
        <f t="shared" si="0"/>
        <v>-1.5601946483748685E-3</v>
      </c>
      <c r="K9">
        <f>(G9-$I$14)^2</f>
        <v>2.3141960111076684E-4</v>
      </c>
      <c r="L9">
        <f t="shared" si="1"/>
        <v>2.4342073408175798E-6</v>
      </c>
    </row>
    <row r="10" spans="1:12" x14ac:dyDescent="0.25">
      <c r="B10">
        <f>SUBTOTAL(103,Table1345[i])</f>
        <v>7</v>
      </c>
      <c r="C10">
        <f>SUBTOTAL(109,Table1345[x])</f>
        <v>1.75</v>
      </c>
      <c r="D10">
        <f>SUBTOTAL(109,Table1345[y])</f>
        <v>50.4</v>
      </c>
      <c r="E10">
        <f>SUBTOTAL(109,Table1345[1/x])</f>
        <v>34.357142857142861</v>
      </c>
      <c r="F10">
        <f>SUBTOTAL(109,Table1345[1/x^2])</f>
        <v>210.96882086167801</v>
      </c>
      <c r="G10">
        <f>SUBTOTAL(109,Table1345[1/y])</f>
        <v>0.9814873722768459</v>
      </c>
      <c r="H10">
        <f>SUBTOTAL(109,Table1345[1/x*1/y])</f>
        <v>5.0573235974551771</v>
      </c>
      <c r="K10">
        <f>SUBTOTAL(109,Table1345[st])</f>
        <v>1.3901518858043334E-3</v>
      </c>
      <c r="L10">
        <f>SUBTOTAL(109,Table1345[sr])</f>
        <v>2.9418799040884733E-5</v>
      </c>
    </row>
    <row r="13" spans="1:12" x14ac:dyDescent="0.25">
      <c r="B13" s="1" t="s">
        <v>17</v>
      </c>
      <c r="C13" s="1"/>
      <c r="D13" t="s">
        <v>15</v>
      </c>
      <c r="E13" s="4" t="s">
        <v>16</v>
      </c>
      <c r="F13" s="4"/>
    </row>
    <row r="14" spans="1:12" x14ac:dyDescent="0.25">
      <c r="B14" s="3">
        <f>Table1345[[#Totals],[i]]</f>
        <v>7</v>
      </c>
      <c r="C14" s="3">
        <f>Table1345[[#Totals],[1/x]]</f>
        <v>34.357142857142861</v>
      </c>
      <c r="E14" s="3">
        <f>Table1345[[#Totals],[1/y]]</f>
        <v>0.9814873722768459</v>
      </c>
      <c r="H14" s="7" t="s">
        <v>19</v>
      </c>
      <c r="I14" s="3">
        <f>Table1345[[#Totals],[1/y]]/Table1345[[#Totals],[i]]</f>
        <v>0.14021248175383513</v>
      </c>
    </row>
    <row r="15" spans="1:12" x14ac:dyDescent="0.25">
      <c r="A15" t="s">
        <v>8</v>
      </c>
      <c r="B15" s="3">
        <f>Table1345[[#Totals],[1/x]]</f>
        <v>34.357142857142861</v>
      </c>
      <c r="C15" s="3">
        <f>Table1345[[#Totals],[1/x^2]]</f>
        <v>210.96882086167801</v>
      </c>
      <c r="E15" s="3">
        <f>Table1345[[#Totals],[1/x*1/y]]</f>
        <v>5.0573235974551771</v>
      </c>
    </row>
    <row r="16" spans="1:12" x14ac:dyDescent="0.25">
      <c r="B16" s="2"/>
      <c r="C16" s="2"/>
      <c r="G16" s="2"/>
      <c r="H16" s="8" t="s">
        <v>20</v>
      </c>
      <c r="I16" s="3">
        <f>Table1345[[#Totals],[st]]</f>
        <v>1.3901518858043334E-3</v>
      </c>
    </row>
    <row r="17" spans="2:11" x14ac:dyDescent="0.25">
      <c r="B17" s="2"/>
      <c r="C17" s="2"/>
      <c r="G17" s="2"/>
      <c r="H17" s="8" t="s">
        <v>21</v>
      </c>
      <c r="I17" s="3">
        <f>Table1345[[#Totals],[sr]]</f>
        <v>2.9418799040884733E-5</v>
      </c>
    </row>
    <row r="18" spans="2:11" x14ac:dyDescent="0.25">
      <c r="B18" s="1" t="s">
        <v>13</v>
      </c>
      <c r="C18" s="1"/>
      <c r="E18" s="5" t="s">
        <v>37</v>
      </c>
      <c r="F18" s="5"/>
    </row>
    <row r="19" spans="2:11" x14ac:dyDescent="0.25">
      <c r="B19" s="3" cm="1">
        <f t="array" ref="B19:C20">MINVERSE(B14:C15)</f>
        <v>0.71184634865740692</v>
      </c>
      <c r="C19" s="3">
        <v>-0.11592711469527207</v>
      </c>
      <c r="E19" s="3" t="s">
        <v>38</v>
      </c>
      <c r="F19" s="3" cm="1">
        <f t="array" ref="F19:F20">MMULT(_xlfn.ANCHORARRAY(B19),E14:E15)</f>
        <v>0.11238726947533351</v>
      </c>
      <c r="H19" s="7" t="s">
        <v>22</v>
      </c>
      <c r="I19" s="3">
        <f>SQRT((I16-I17)/I16)</f>
        <v>0.98936227378281594</v>
      </c>
    </row>
    <row r="20" spans="2:11" x14ac:dyDescent="0.25">
      <c r="B20" s="3">
        <v>-0.11592711469527206</v>
      </c>
      <c r="C20" s="3">
        <v>2.3619245821489939E-2</v>
      </c>
      <c r="E20" s="3" t="s">
        <v>39</v>
      </c>
      <c r="F20" s="3">
        <v>5.6691700692165503E-3</v>
      </c>
    </row>
    <row r="21" spans="2:11" x14ac:dyDescent="0.25">
      <c r="H21" s="9"/>
    </row>
    <row r="22" spans="2:11" x14ac:dyDescent="0.25">
      <c r="H22" s="8" t="s">
        <v>23</v>
      </c>
      <c r="I22" s="16" t="s">
        <v>45</v>
      </c>
    </row>
    <row r="23" spans="2:11" x14ac:dyDescent="0.25">
      <c r="D23" s="3" t="s">
        <v>9</v>
      </c>
      <c r="E23" s="3">
        <f>10^F19</f>
        <v>1.2953504176608903</v>
      </c>
      <c r="H23" s="6" t="s">
        <v>23</v>
      </c>
      <c r="I23" s="3" t="str">
        <f>ROUND(E23,3)&amp;"x"&amp;"/"&amp;ROUND(E24,3)&amp;"+"&amp;"x"</f>
        <v>1,295x/0,007+x</v>
      </c>
      <c r="K23" s="12"/>
    </row>
    <row r="24" spans="2:11" x14ac:dyDescent="0.25">
      <c r="D24" s="3" t="s">
        <v>10</v>
      </c>
      <c r="E24" s="3">
        <f>F20*E23</f>
        <v>7.3435618169502767E-3</v>
      </c>
    </row>
  </sheetData>
  <mergeCells count="3">
    <mergeCell ref="B13:C13"/>
    <mergeCell ref="B18:C18"/>
    <mergeCell ref="E18:F1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 Reggresion</vt:lpstr>
      <vt:lpstr>Exponentional</vt:lpstr>
      <vt:lpstr>Perpangkatan</vt:lpstr>
      <vt:lpstr>Laju Pertumbuhan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MIKHA SULISTIYO 12024002503</dc:creator>
  <cp:lastModifiedBy>TOBIAS MIKHA SULISTIYO 12024002503</cp:lastModifiedBy>
  <dcterms:created xsi:type="dcterms:W3CDTF">2024-09-28T01:00:28Z</dcterms:created>
  <dcterms:modified xsi:type="dcterms:W3CDTF">2024-10-04T16:52:16Z</dcterms:modified>
</cp:coreProperties>
</file>