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\Pascasarjana\SEMESTER 1\METODE KOMPUTASI\"/>
    </mc:Choice>
  </mc:AlternateContent>
  <xr:revisionPtr revIDLastSave="0" documentId="13_ncr:1_{B917D8C8-F8B8-4A9C-B3F4-403CE4123F46}" xr6:coauthVersionLast="47" xr6:coauthVersionMax="47" xr10:uidLastSave="{00000000-0000-0000-0000-000000000000}"/>
  <bookViews>
    <workbookView xWindow="-120" yWindow="-120" windowWidth="29040" windowHeight="15840" xr2:uid="{592D7EB4-FCD1-4D4C-A746-DF85D5AB2092}"/>
  </bookViews>
  <sheets>
    <sheet name="Soal no 1a" sheetId="1" r:id="rId1"/>
    <sheet name="Soal no 1b" sheetId="2" r:id="rId2"/>
    <sheet name="Soal 2a" sheetId="3" r:id="rId3"/>
    <sheet name="Soal 2b" sheetId="4" r:id="rId4"/>
    <sheet name="Soal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5" l="1"/>
  <c r="M12" i="5"/>
  <c r="M13" i="5"/>
  <c r="M14" i="5"/>
  <c r="M15" i="5"/>
  <c r="M16" i="5"/>
  <c r="D16" i="5"/>
  <c r="J16" i="5"/>
  <c r="K16" i="5"/>
  <c r="E16" i="5" s="1"/>
  <c r="F16" i="5" s="1"/>
  <c r="L16" i="5"/>
  <c r="J11" i="5"/>
  <c r="J12" i="5"/>
  <c r="J13" i="5"/>
  <c r="J14" i="5"/>
  <c r="J15" i="5"/>
  <c r="D11" i="5"/>
  <c r="D12" i="5"/>
  <c r="D13" i="5"/>
  <c r="D14" i="5"/>
  <c r="D15" i="5"/>
  <c r="C12" i="3"/>
  <c r="F9" i="2"/>
  <c r="E9" i="2"/>
  <c r="E15" i="1"/>
  <c r="F16" i="1"/>
  <c r="G16" i="1" s="1"/>
  <c r="H16" i="1"/>
  <c r="I16" i="1" s="1"/>
  <c r="L16" i="1"/>
  <c r="M16" i="1"/>
  <c r="E16" i="1" s="1"/>
  <c r="F15" i="1"/>
  <c r="G15" i="1" s="1"/>
  <c r="H15" i="1"/>
  <c r="I15" i="1" s="1"/>
  <c r="L15" i="1"/>
  <c r="M15" i="1"/>
  <c r="F14" i="1"/>
  <c r="G14" i="1" s="1"/>
  <c r="H14" i="1"/>
  <c r="I14" i="1"/>
  <c r="L14" i="1"/>
  <c r="M14" i="1"/>
  <c r="E14" i="1" s="1"/>
  <c r="M9" i="1"/>
  <c r="M10" i="1"/>
  <c r="M11" i="1"/>
  <c r="M12" i="1"/>
  <c r="M13" i="1"/>
  <c r="L9" i="1"/>
  <c r="L10" i="1"/>
  <c r="L11" i="1"/>
  <c r="L12" i="1"/>
  <c r="L13" i="1"/>
  <c r="M8" i="1"/>
  <c r="L8" i="1"/>
  <c r="E8" i="1" s="1"/>
  <c r="N8" i="1" s="1"/>
  <c r="G16" i="5" l="1"/>
  <c r="H16" i="5" s="1"/>
  <c r="J16" i="1"/>
  <c r="K16" i="1" s="1"/>
  <c r="N16" i="1"/>
  <c r="J15" i="1"/>
  <c r="K15" i="1" s="1"/>
  <c r="J14" i="1"/>
  <c r="K14" i="1" s="1"/>
  <c r="N14" i="1"/>
  <c r="L11" i="5"/>
  <c r="L15" i="5"/>
  <c r="K15" i="5"/>
  <c r="G15" i="5" s="1"/>
  <c r="H15" i="5" s="1"/>
  <c r="L14" i="5"/>
  <c r="K14" i="5"/>
  <c r="G14" i="5" s="1"/>
  <c r="H14" i="5" s="1"/>
  <c r="L13" i="5"/>
  <c r="K13" i="5"/>
  <c r="E13" i="5" s="1"/>
  <c r="F13" i="5" s="1"/>
  <c r="L12" i="5"/>
  <c r="K12" i="5"/>
  <c r="E12" i="5" s="1"/>
  <c r="F12" i="5" s="1"/>
  <c r="K11" i="5"/>
  <c r="G11" i="5" s="1"/>
  <c r="H11" i="5" s="1"/>
  <c r="E11" i="5"/>
  <c r="F11" i="5" s="1"/>
  <c r="O15" i="1" l="1"/>
  <c r="O16" i="1"/>
  <c r="N15" i="1"/>
  <c r="E15" i="5"/>
  <c r="F15" i="5" s="1"/>
  <c r="E14" i="5"/>
  <c r="F14" i="5" s="1"/>
  <c r="G12" i="5"/>
  <c r="G13" i="5"/>
  <c r="H13" i="5" l="1"/>
  <c r="H12" i="5"/>
  <c r="I28" i="4"/>
  <c r="J26" i="4"/>
  <c r="F24" i="4" a="1"/>
  <c r="F24" i="4" s="1"/>
  <c r="E14" i="4"/>
  <c r="F14" i="4" s="1"/>
  <c r="G14" i="4"/>
  <c r="E3" i="4"/>
  <c r="F3" i="4" s="1"/>
  <c r="G3" i="4"/>
  <c r="E4" i="4"/>
  <c r="F4" i="4" s="1"/>
  <c r="G4" i="4"/>
  <c r="E5" i="4"/>
  <c r="F5" i="4" s="1"/>
  <c r="G5" i="4"/>
  <c r="E6" i="4"/>
  <c r="F6" i="4" s="1"/>
  <c r="G6" i="4"/>
  <c r="E7" i="4"/>
  <c r="F7" i="4" s="1"/>
  <c r="G7" i="4"/>
  <c r="H7" i="4" s="1"/>
  <c r="E8" i="4"/>
  <c r="F8" i="4" s="1"/>
  <c r="G8" i="4"/>
  <c r="D15" i="4"/>
  <c r="C15" i="4"/>
  <c r="B15" i="4"/>
  <c r="B19" i="4" s="1"/>
  <c r="G13" i="4"/>
  <c r="E13" i="4"/>
  <c r="G12" i="4"/>
  <c r="E12" i="4"/>
  <c r="G11" i="4"/>
  <c r="E11" i="4"/>
  <c r="G10" i="4"/>
  <c r="E10" i="4"/>
  <c r="F10" i="4" s="1"/>
  <c r="G9" i="4"/>
  <c r="E9" i="4"/>
  <c r="C6" i="3"/>
  <c r="C5" i="3"/>
  <c r="C4" i="3"/>
  <c r="C3" i="3"/>
  <c r="C2" i="3"/>
  <c r="I6" i="4" l="1"/>
  <c r="I10" i="4"/>
  <c r="I14" i="4"/>
  <c r="J14" i="4" s="1"/>
  <c r="L14" i="4" s="1"/>
  <c r="I7" i="4"/>
  <c r="I11" i="4"/>
  <c r="I3" i="4"/>
  <c r="J3" i="4" s="1"/>
  <c r="L3" i="4" s="1"/>
  <c r="I4" i="4"/>
  <c r="J4" i="4" s="1"/>
  <c r="L4" i="4" s="1"/>
  <c r="I8" i="4"/>
  <c r="I12" i="4"/>
  <c r="I5" i="4"/>
  <c r="J5" i="4" s="1"/>
  <c r="L5" i="4" s="1"/>
  <c r="I9" i="4"/>
  <c r="I13" i="4"/>
  <c r="H14" i="4"/>
  <c r="H12" i="4"/>
  <c r="H6" i="4"/>
  <c r="H4" i="4"/>
  <c r="H3" i="4"/>
  <c r="E15" i="4"/>
  <c r="C19" i="4" s="1"/>
  <c r="H5" i="4"/>
  <c r="J6" i="4"/>
  <c r="L6" i="4" s="1"/>
  <c r="J7" i="4"/>
  <c r="L7" i="4" s="1"/>
  <c r="H8" i="4"/>
  <c r="H13" i="4"/>
  <c r="F9" i="4"/>
  <c r="F13" i="4"/>
  <c r="H11" i="4"/>
  <c r="F12" i="4"/>
  <c r="G15" i="4"/>
  <c r="I19" i="4" s="1"/>
  <c r="H10" i="4"/>
  <c r="F11" i="4"/>
  <c r="H9" i="4"/>
  <c r="D2" i="3"/>
  <c r="D4" i="3"/>
  <c r="D3" i="3"/>
  <c r="D5" i="3"/>
  <c r="K4" i="4" l="1"/>
  <c r="K8" i="4"/>
  <c r="K12" i="4"/>
  <c r="K6" i="4"/>
  <c r="K10" i="4"/>
  <c r="K14" i="4"/>
  <c r="K7" i="4"/>
  <c r="K11" i="4"/>
  <c r="K5" i="4"/>
  <c r="K9" i="4"/>
  <c r="K13" i="4"/>
  <c r="K3" i="4"/>
  <c r="B20" i="4"/>
  <c r="H15" i="4"/>
  <c r="E20" i="4" s="1"/>
  <c r="F15" i="4"/>
  <c r="C20" i="4" s="1"/>
  <c r="E19" i="4"/>
  <c r="E2" i="3"/>
  <c r="E4" i="3"/>
  <c r="E3" i="3"/>
  <c r="B24" i="4" l="1" a="1"/>
  <c r="B24" i="4" s="1"/>
  <c r="J8" i="4"/>
  <c r="L8" i="4" s="1"/>
  <c r="F3" i="3"/>
  <c r="F2" i="3"/>
  <c r="G2" i="3" l="1"/>
  <c r="J11" i="4"/>
  <c r="L11" i="4" s="1"/>
  <c r="J9" i="4"/>
  <c r="L9" i="4" s="1"/>
  <c r="J10" i="4"/>
  <c r="L10" i="4" s="1"/>
  <c r="J13" i="4"/>
  <c r="L13" i="4" s="1"/>
  <c r="J12" i="4" l="1"/>
  <c r="L12" i="4" s="1"/>
  <c r="L15" i="4" s="1"/>
  <c r="I22" i="4" s="1"/>
  <c r="K15" i="4" l="1"/>
  <c r="I21" i="4" s="1"/>
  <c r="I24" i="4" s="1"/>
  <c r="D10" i="2" l="1"/>
  <c r="F10" i="2" s="1"/>
  <c r="G10" i="2"/>
  <c r="E10" i="2" l="1"/>
  <c r="D11" i="2" s="1"/>
  <c r="F11" i="2" s="1"/>
  <c r="E11" i="2" l="1"/>
  <c r="D12" i="2"/>
  <c r="G11" i="2"/>
  <c r="G12" i="2"/>
  <c r="E12" i="2" l="1"/>
  <c r="F12" i="2"/>
  <c r="D13" i="2"/>
  <c r="E13" i="2" l="1"/>
  <c r="D14" i="2" s="1"/>
  <c r="F13" i="2"/>
  <c r="G13" i="2"/>
  <c r="E14" i="2" l="1"/>
  <c r="D15" i="2" s="1"/>
  <c r="F14" i="2"/>
  <c r="G14" i="2"/>
  <c r="E15" i="2" l="1"/>
  <c r="D16" i="2" s="1"/>
  <c r="F15" i="2"/>
  <c r="G15" i="2"/>
  <c r="E16" i="2" l="1"/>
  <c r="D17" i="2" s="1"/>
  <c r="F16" i="2"/>
  <c r="G16" i="2"/>
  <c r="E17" i="2" l="1"/>
  <c r="F17" i="2"/>
  <c r="G17" i="2"/>
  <c r="D18" i="2" l="1"/>
  <c r="F18" i="2" s="1"/>
  <c r="G18" i="2" l="1"/>
  <c r="E18" i="2"/>
  <c r="D19" i="2" s="1"/>
  <c r="E19" i="2" l="1"/>
  <c r="F19" i="2"/>
  <c r="G19" i="2"/>
  <c r="D20" i="2" l="1"/>
  <c r="F20" i="2" s="1"/>
  <c r="G20" i="2" l="1"/>
  <c r="E20" i="2"/>
  <c r="H13" i="1"/>
  <c r="F13" i="1"/>
  <c r="H12" i="1"/>
  <c r="I12" i="1" s="1"/>
  <c r="F12" i="1"/>
  <c r="H11" i="1"/>
  <c r="I11" i="1" s="1"/>
  <c r="F11" i="1"/>
  <c r="G11" i="1" s="1"/>
  <c r="H10" i="1"/>
  <c r="F10" i="1"/>
  <c r="G10" i="1" s="1"/>
  <c r="H9" i="1"/>
  <c r="F9" i="1"/>
  <c r="G9" i="1" s="1"/>
  <c r="H8" i="1"/>
  <c r="I8" i="1" s="1"/>
  <c r="F8" i="1"/>
  <c r="G8" i="1" s="1"/>
  <c r="E11" i="1" l="1"/>
  <c r="N11" i="1" s="1"/>
  <c r="G13" i="1"/>
  <c r="I10" i="1"/>
  <c r="E10" i="1" s="1"/>
  <c r="N10" i="1" s="1"/>
  <c r="G12" i="1"/>
  <c r="E12" i="1" s="1"/>
  <c r="N12" i="1" s="1"/>
  <c r="I9" i="1"/>
  <c r="I13" i="1"/>
  <c r="J8" i="1" l="1"/>
  <c r="O12" i="1"/>
  <c r="J12" i="1"/>
  <c r="J10" i="1"/>
  <c r="E13" i="1"/>
  <c r="O11" i="1"/>
  <c r="J11" i="1"/>
  <c r="E9" i="1"/>
  <c r="N9" i="1" s="1"/>
  <c r="K8" i="1"/>
  <c r="N13" i="1" l="1"/>
  <c r="O14" i="1"/>
  <c r="K12" i="1"/>
  <c r="J13" i="1"/>
  <c r="O13" i="1"/>
  <c r="O9" i="1"/>
  <c r="J9" i="1"/>
  <c r="O10" i="1"/>
  <c r="K11" i="1"/>
  <c r="K10" i="1"/>
  <c r="K13" i="1" l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<sst xmlns="http://schemas.openxmlformats.org/spreadsheetml/2006/main" count="89" uniqueCount="79">
  <si>
    <t>Bracketing Methode Using False Position</t>
  </si>
  <si>
    <t>i</t>
  </si>
  <si>
    <t>xl</t>
  </si>
  <si>
    <t>xu</t>
  </si>
  <si>
    <t>1/root(xl)</t>
  </si>
  <si>
    <t>1-e^-0,146843.xl</t>
  </si>
  <si>
    <t>1/root(xu)</t>
  </si>
  <si>
    <t>1-e^-0,146843.xu</t>
  </si>
  <si>
    <t>1/root(xr)</t>
  </si>
  <si>
    <t>1-e^-0,146843.xr</t>
  </si>
  <si>
    <t>f(xl)</t>
  </si>
  <si>
    <t>f(xu)</t>
  </si>
  <si>
    <t>er(%)</t>
  </si>
  <si>
    <t>NA</t>
  </si>
  <si>
    <t>Jawab:</t>
  </si>
  <si>
    <t>Methode Newthon Raphson</t>
  </si>
  <si>
    <t>x</t>
  </si>
  <si>
    <t>g(x)</t>
  </si>
  <si>
    <t>g'(x)</t>
  </si>
  <si>
    <t>err</t>
  </si>
  <si>
    <t>f(x)</t>
  </si>
  <si>
    <t>First Devided</t>
  </si>
  <si>
    <t>Second Devided</t>
  </si>
  <si>
    <t>Third Devided</t>
  </si>
  <si>
    <t>Fourth Devided</t>
  </si>
  <si>
    <t>Fifth devided</t>
  </si>
  <si>
    <t xml:space="preserve">b. </t>
  </si>
  <si>
    <t>y</t>
  </si>
  <si>
    <t>log(x)</t>
  </si>
  <si>
    <t>log(x)^2</t>
  </si>
  <si>
    <t>log(y)</t>
  </si>
  <si>
    <t>log(x)*log(y)</t>
  </si>
  <si>
    <t>log a + b*log x</t>
  </si>
  <si>
    <t>st</t>
  </si>
  <si>
    <t>sr</t>
  </si>
  <si>
    <t>MATRIX  1 (KIRI)</t>
  </si>
  <si>
    <t xml:space="preserve"> </t>
  </si>
  <si>
    <t>MATRIX 2 (KANAN)</t>
  </si>
  <si>
    <t>Yrata rata</t>
  </si>
  <si>
    <t>St</t>
  </si>
  <si>
    <t>Sr</t>
  </si>
  <si>
    <t>Matrix Inverse</t>
  </si>
  <si>
    <t>log (a) &amp; b</t>
  </si>
  <si>
    <t>log(a)</t>
  </si>
  <si>
    <t>r</t>
  </si>
  <si>
    <t>b</t>
  </si>
  <si>
    <t>a</t>
  </si>
  <si>
    <t>aV^b</t>
  </si>
  <si>
    <t>Jadi Bentuk persamaannya adalah</t>
  </si>
  <si>
    <t>Dan memiliki koefisien korelasi sebesar</t>
  </si>
  <si>
    <t>r     =</t>
  </si>
  <si>
    <t>Yang berarti bentuk tersebut memiliki kualitas fitting yang baik karena mendekati 1</t>
  </si>
  <si>
    <t>iter</t>
  </si>
  <si>
    <t>x1</t>
  </si>
  <si>
    <t>f(x1)</t>
  </si>
  <si>
    <t>x2</t>
  </si>
  <si>
    <t>f(x2)</t>
  </si>
  <si>
    <t>d</t>
  </si>
  <si>
    <t>1-R</t>
  </si>
  <si>
    <t>Err</t>
  </si>
  <si>
    <t>xr</t>
  </si>
  <si>
    <t>f(xr)</t>
  </si>
  <si>
    <r>
      <t xml:space="preserve">Carilah akar dari persamaan tersebut sehingga galat aproksimasinya </t>
    </r>
    <r>
      <rPr>
        <sz val="18"/>
        <color theme="1"/>
        <rFont val="Symbol"/>
        <family val="1"/>
        <charset val="2"/>
      </rPr>
      <t>e</t>
    </r>
    <r>
      <rPr>
        <sz val="12"/>
        <color theme="1"/>
        <rFont val="Times New Roman"/>
        <family val="1"/>
      </rPr>
      <t>a ≤ 0.03 %</t>
    </r>
  </si>
  <si>
    <t>x = -0,414512244012287</t>
  </si>
  <si>
    <r>
      <t xml:space="preserve">Jadi akar dari persamaan tersebut sehingga galat aproksimasinya </t>
    </r>
    <r>
      <rPr>
        <sz val="18"/>
        <color rgb="FF000000"/>
        <rFont val="Symbol"/>
        <family val="1"/>
        <charset val="2"/>
      </rPr>
      <t>e</t>
    </r>
    <r>
      <rPr>
        <sz val="12"/>
        <color rgb="FF000000"/>
        <rFont val="Times New Roman"/>
        <family val="1"/>
      </rPr>
      <t>a ≤ 0.03 %</t>
    </r>
  </si>
  <si>
    <t>y= -0,0066161035745349</t>
  </si>
  <si>
    <t>f′(x)=−8.25x2+36x−21</t>
  </si>
  <si>
    <t>f′(x) = −8.25x^2+36x−21</t>
  </si>
  <si>
    <t>x= -0,414689412640947</t>
  </si>
  <si>
    <t>Y</t>
  </si>
  <si>
    <t>Y    =</t>
  </si>
  <si>
    <t>y    =</t>
  </si>
  <si>
    <t>Order = 5</t>
  </si>
  <si>
    <t>Apabila ingin mencari f(0,8)</t>
  </si>
  <si>
    <t>Karena banyak data 6 maka maksimal untuk pengulangan adalah 5</t>
  </si>
  <si>
    <r>
      <t xml:space="preserve">Lakukan komputasi menggunakan metode </t>
    </r>
    <r>
      <rPr>
        <i/>
        <sz val="12"/>
        <color theme="1"/>
        <rFont val="Cambria"/>
        <family val="1"/>
      </rPr>
      <t>Golden section search</t>
    </r>
    <r>
      <rPr>
        <sz val="12"/>
        <color theme="1"/>
        <rFont val="Cambria"/>
        <family val="1"/>
      </rPr>
      <t xml:space="preserve"> </t>
    </r>
  </si>
  <si>
    <t>sebanyak 5 kali iterasi</t>
  </si>
  <si>
    <t xml:space="preserve">dengan prediksi awal :  xlo = 1.5  dan  xup = 3. </t>
  </si>
  <si>
    <t xml:space="preserve">Hitung juga galatnya pada setiap iterasi.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</si>
</sst>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2"/>
      <color theme="1"/>
      <name val="Cambria"/>
      <family val="1"/>
    </font>
    <font>
      <sz val="12"/>
      <color theme="1"/>
      <name val="Times New Roman"/>
      <family val="1"/>
    </font>
    <font>
      <sz val="18"/>
      <color theme="1"/>
      <name val="Symbol"/>
      <family val="1"/>
      <charset val="2"/>
    </font>
    <font>
      <sz val="12"/>
      <color rgb="FF000000"/>
      <name val="Times New Roman"/>
      <family val="1"/>
    </font>
    <font>
      <sz val="18"/>
      <color rgb="FF000000"/>
      <name val="Symbol"/>
      <family val="1"/>
      <charset val="2"/>
    </font>
    <font>
      <i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2" fillId="0" borderId="0" xfId="0" applyFont="1"/>
    <xf numFmtId="0" fontId="1" fillId="0" borderId="5" xfId="0" applyFont="1" applyBorder="1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5" xfId="0" applyNumberFormat="1" applyBorder="1" applyAlignment="1">
      <alignment horizontal="right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center"/>
    </xf>
    <xf numFmtId="0" fontId="0" fillId="2" borderId="5" xfId="0" applyNumberFormat="1" applyFill="1" applyBorder="1" applyAlignment="1">
      <alignment horizontal="right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4" fillId="4" borderId="0" xfId="0" applyFont="1" applyFill="1"/>
    <xf numFmtId="0" fontId="0" fillId="4" borderId="0" xfId="0" applyFill="1"/>
    <xf numFmtId="0" fontId="6" fillId="0" borderId="0" xfId="0" applyFont="1"/>
    <xf numFmtId="0" fontId="0" fillId="2" borderId="4" xfId="0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3" fillId="0" borderId="0" xfId="0" applyFont="1" applyAlignment="1">
      <alignment vertical="center"/>
    </xf>
    <xf numFmtId="0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2237642</xdr:colOff>
      <xdr:row>0</xdr:row>
      <xdr:rowOff>186836</xdr:rowOff>
    </xdr:from>
    <xdr:to>
      <xdr:col>13</xdr:col>
      <xdr:colOff>823136</xdr:colOff>
      <xdr:row>4</xdr:row>
      <xdr:rowOff>231650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ADD8C-4134-4409-8ECE-83380860A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217" y="186836"/>
          <a:ext cx="2728869" cy="806814"/>
        </a:xfrm>
        <a:prstGeom prst="rect">
          <a:avLst/>
        </a:prstGeom>
      </xdr:spPr>
    </xdr:pic>
    <xdr:clientData/>
  </xdr:twoCellAnchor>
  <xdr:twoCellAnchor>
    <xdr:from>
      <xdr:col>2</xdr:col>
      <xdr:colOff>71437</xdr:colOff>
      <xdr:row>2</xdr:row>
      <xdr:rowOff>142875</xdr:rowOff>
    </xdr:from>
    <xdr:to>
      <xdr:col>4</xdr:col>
      <xdr:colOff>719137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058E8-7AEB-5796-3B7E-43715332A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523875"/>
          <a:ext cx="2505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426534</xdr:colOff>
      <xdr:row>1</xdr:row>
      <xdr:rowOff>2788</xdr:rowOff>
    </xdr:from>
    <xdr:to>
      <xdr:col>8</xdr:col>
      <xdr:colOff>186056</xdr:colOff>
      <xdr:row>4</xdr:row>
      <xdr:rowOff>60026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DD59A-881A-4CE6-BA2C-E4DF0656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558" y="193288"/>
          <a:ext cx="1446144" cy="628738"/>
        </a:xfrm>
        <a:prstGeom prst="rect">
          <a:avLst/>
        </a:prstGeom>
      </xdr:spPr>
    </xdr:pic>
    <xdr:clientData/>
  </xdr:twoCellAnchor>
  <xdr:twoCellAnchor>
    <xdr:from>
      <xdr:col>2</xdr:col>
      <xdr:colOff>18587</xdr:colOff>
      <xdr:row>2</xdr:row>
      <xdr:rowOff>69696</xdr:rowOff>
    </xdr:from>
    <xdr:to>
      <xdr:col>4</xdr:col>
      <xdr:colOff>1199119</xdr:colOff>
      <xdr:row>3</xdr:row>
      <xdr:rowOff>74342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CAE463-0A0A-54CC-B6E6-ED56FFB4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28" y="450696"/>
          <a:ext cx="2941496" cy="195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0</xdr:row>
      <xdr:rowOff>1</xdr:rowOff>
    </xdr:from>
    <xdr:to>
      <xdr:col>19</xdr:col>
      <xdr:colOff>438151</xdr:colOff>
      <xdr:row>5</xdr:row>
      <xdr:rowOff>189146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57ACB-E4C2-3ABB-30EC-04A5D02B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1" y="1"/>
          <a:ext cx="6534150" cy="11892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0</xdr:col>
      <xdr:colOff>3297787</xdr:colOff>
      <xdr:row>18</xdr:row>
      <xdr:rowOff>58615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0E3744-9131-46E3-92A7-0C118BF1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19375"/>
          <a:ext cx="3297787" cy="868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129540</xdr:rowOff>
    </xdr:from>
    <xdr:to>
      <xdr:col>0</xdr:col>
      <xdr:colOff>3397744</xdr:colOff>
      <xdr:row>3</xdr:row>
      <xdr:rowOff>186689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2F79A3-0350-AC6D-8FD2-BFB4A1B0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"/>
          <a:ext cx="3397744" cy="6286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295541</xdr:colOff>
      <xdr:row>17</xdr:row>
      <xdr:rowOff>39576</xdr:rowOff>
    </xdr:from>
    <xdr:to>
      <xdr:col>11</xdr:col>
      <xdr:colOff>471225</xdr:colOff>
      <xdr:row>21</xdr:row>
      <xdr:rowOff>187554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4C318-8083-4824-9D7B-CD89DF505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0445" y="3300057"/>
          <a:ext cx="1391953" cy="909978"/>
        </a:xfrm>
        <a:prstGeom prst="rect">
          <a:avLst/>
        </a:prstGeom>
      </xdr:spPr>
    </xdr:pic>
    <xdr:clientData/>
  </xdr:twoCellAnchor>
  <xdr:twoCellAnchor editAs="oneCell">
    <xdr:from>
      <xdr:col>8</xdr:col>
      <xdr:colOff>3735</xdr:colOff>
      <xdr:row>0</xdr:row>
      <xdr:rowOff>128743</xdr:rowOff>
    </xdr:from>
    <xdr:to>
      <xdr:col>14</xdr:col>
      <xdr:colOff>126570</xdr:colOff>
      <xdr:row>8</xdr:row>
      <xdr:rowOff>141408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ADC7F1-3731-4A00-B3D3-4ABAE4D36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0504" y="128743"/>
          <a:ext cx="3771643" cy="1558646"/>
        </a:xfrm>
        <a:prstGeom prst="rect">
          <a:avLst/>
        </a:prstGeom>
      </xdr:spPr>
    </xdr:pic>
    <xdr:clientData/>
  </xdr:twoCellAnchor>
  <xdr:twoCellAnchor editAs="oneCell">
    <xdr:from>
      <xdr:col>13</xdr:col>
      <xdr:colOff>348761</xdr:colOff>
      <xdr:row>9</xdr:row>
      <xdr:rowOff>134815</xdr:rowOff>
    </xdr:from>
    <xdr:to>
      <xdr:col>17</xdr:col>
      <xdr:colOff>358628</xdr:colOff>
      <xdr:row>13</xdr:row>
      <xdr:rowOff>77763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B2033-2A61-404A-AAB5-4848628AE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6203" y="1871296"/>
          <a:ext cx="2442406" cy="704948"/>
        </a:xfrm>
        <a:prstGeom prst="rect">
          <a:avLst/>
        </a:prstGeom>
      </xdr:spPr>
    </xdr:pic>
    <xdr:clientData/>
  </xdr:twoCellAnchor>
  <xdr:twoCellAnchor>
    <xdr:from>
      <xdr:col>0</xdr:col>
      <xdr:colOff>73269</xdr:colOff>
      <xdr:row>0</xdr:row>
      <xdr:rowOff>153865</xdr:rowOff>
    </xdr:from>
    <xdr:to>
      <xdr:col>5</xdr:col>
      <xdr:colOff>45181</xdr:colOff>
      <xdr:row>1</xdr:row>
      <xdr:rowOff>175846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D01862-B918-4108-E6E8-A666CA3C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9" y="153865"/>
          <a:ext cx="3012585" cy="212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DEDF-1DC5-48BA-A853-4C3141D4D188}" name="Table1343" displayName="Table1343" ref="B7:O16" totalsRowShown="0" headerRowDxfId="43" dataDxfId="41" headerRowBorderDxfId="42" tableBorderDxfId="40" totalsRowBorderDxfId="39">
  <autoFilter ref="B7:O16" xr:uid="{FC13DEDF-1DC5-48BA-A853-4C3141D4D188}"/>
  <tableColumns count="14">
    <tableColumn id="1" xr3:uid="{AFF6B537-0D07-465C-AF76-C4F0E960CDB7}" name="i" dataDxfId="38"/>
    <tableColumn id="2" xr3:uid="{5FA30B47-E4A7-454A-9AE5-E805EE245A50}" name="x1" dataDxfId="37"/>
    <tableColumn id="3" xr3:uid="{765F9D69-1BC6-45A7-95F6-5885DD547C28}" name="x2" dataDxfId="36"/>
    <tableColumn id="5" xr3:uid="{9B01B0A7-25A2-4B61-AA80-CAC642E10126}" name="xr" dataDxfId="35">
      <calculatedColumnFormula>Table1343[[#This Row],[x2]]-((Table1343[[#This Row],[f(x2)]]*(Table1343[[#This Row],[x1]]-Table1343[[#This Row],[x2]]))/(Table1343[[#This Row],[f(x1)]]-Table1343[[#This Row],[f(x2)]]))</calculatedColumnFormula>
    </tableColumn>
    <tableColumn id="6" xr3:uid="{AC81A51E-9A59-4B16-BE51-73F7A8BDC894}" name="1/root(xl)" dataDxfId="34">
      <calculatedColumnFormula>1/SQRT(Table1343[[#This Row],[x1]])</calculatedColumnFormula>
    </tableColumn>
    <tableColumn id="7" xr3:uid="{F74C8AEA-8FD4-4C26-976A-7EA28CEABDEB}" name="1-e^-0,146843.xl" dataDxfId="33">
      <calculatedColumnFormula>2*LOG((0.0000015/3.7*(0.005))+(2.51/13743*F8))</calculatedColumnFormula>
    </tableColumn>
    <tableColumn id="8" xr3:uid="{C000AF8F-872C-450A-AD25-CC09B1CEB9F8}" name="1/root(xu)" dataDxfId="32">
      <calculatedColumnFormula>1/SQRT(Table1343[[#This Row],[x2]])</calculatedColumnFormula>
    </tableColumn>
    <tableColumn id="9" xr3:uid="{38BEBECB-B339-4561-9CF7-3E566707D461}" name="1-e^-0,146843.xu" dataDxfId="31">
      <calculatedColumnFormula>2*LOG((0.0000015/3.7*(0.005))+(2.51/13743*H8))</calculatedColumnFormula>
    </tableColumn>
    <tableColumn id="15" xr3:uid="{CC11C502-731E-420D-9BB5-2F027A3604C4}" name="1/root(xr)" dataDxfId="30">
      <calculatedColumnFormula>1/SQRT(Table1343[[#This Row],[xr]])</calculatedColumnFormula>
    </tableColumn>
    <tableColumn id="14" xr3:uid="{AD589CC3-C939-4674-A59B-2B2C7654A379}" name="1-e^-0,146843.xr" dataDxfId="29">
      <calculatedColumnFormula>2*LOG((0.0000015/3.7*(0.005))+(2.51/13743*J8))</calculatedColumnFormula>
    </tableColumn>
    <tableColumn id="10" xr3:uid="{F68E216C-EF56-4FBE-B34C-6261903E96A7}" name="f(x1)" dataDxfId="7">
      <calculatedColumnFormula>(-2.75*(Table1343[[#This Row],[x1]])^3)+(18*(Table1343[[#This Row],[x1]])^2)-(21*Table1343[[#This Row],[x1]])-12</calculatedColumnFormula>
    </tableColumn>
    <tableColumn id="11" xr3:uid="{29619899-41E2-47D8-AC2F-8D8125F89A34}" name="f(x2)" dataDxfId="28">
      <calculatedColumnFormula>(-2.75*(Table1343[[#This Row],[x2]])^3)+(18*(Table1343[[#This Row],[x2]])^2)-(21*Table1343[[#This Row],[x2]])-12</calculatedColumnFormula>
    </tableColumn>
    <tableColumn id="13" xr3:uid="{412AA154-6E96-4118-BCFC-E4B1C4ACF38E}" name="f(xr)" dataDxfId="27">
      <calculatedColumnFormula>(-2.75*(Table1343[[#This Row],[xr]])^3)+(18*(Table1343[[#This Row],[xr]])^2)-(21*Table1343[[#This Row],[xr]])-12</calculatedColumnFormula>
    </tableColumn>
    <tableColumn id="12" xr3:uid="{0B842D80-7FCC-4414-BCB7-383DA1E17781}" name="er(%)" dataDxfId="26">
      <calculatedColumnFormula>ABS((E8-E7)/E8)*100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154A76-3823-478C-9052-142D69CDFF18}" name="Table1" displayName="Table1" ref="C8:G20" totalsRowShown="0" headerRowDxfId="25" headerRowBorderDxfId="24" tableBorderDxfId="23" totalsRowBorderDxfId="22">
  <autoFilter ref="C8:G20" xr:uid="{06154A76-3823-478C-9052-142D69CDFF18}"/>
  <tableColumns count="5">
    <tableColumn id="1" xr3:uid="{32D66B90-8A7C-40D8-A777-EF6F1689D5EB}" name="i" dataDxfId="21"/>
    <tableColumn id="2" xr3:uid="{D5A8F2BE-7A11-4C3B-B73C-B708C5CFA5E4}" name="x" dataDxfId="20">
      <calculatedColumnFormula>D8 - E8/F8</calculatedColumnFormula>
    </tableColumn>
    <tableColumn id="3" xr3:uid="{1FF27EBD-7547-4DF8-8CAE-E00288B59528}" name="g(x)" dataDxfId="6">
      <calculatedColumnFormula>(-2.75*(Table1[[#This Row],[x]])^3)+(18*(Table1[[#This Row],[x]])^2)-(21*Table1[[#This Row],[x]])-12</calculatedColumnFormula>
    </tableColumn>
    <tableColumn id="4" xr3:uid="{0D0C519D-A991-49CD-8028-B864768835A0}" name="g'(x)" dataDxfId="5">
      <calculatedColumnFormula>(-8.25*(Table1[[#This Row],[x]])^2)+(36*(Table1[[#This Row],[x]]))-21</calculatedColumnFormula>
    </tableColumn>
    <tableColumn id="5" xr3:uid="{471C0C3A-83B8-40C3-95AB-7960C4E3B797}" name="err" dataDxfId="19">
      <calculatedColumnFormula>ABS((D9 - D8) / D9) * 100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8470EB-ECFB-4A71-8F5F-B5275BDB273C}" name="Table134" displayName="Table134" ref="B2:L15" totalsRowCount="1">
  <autoFilter ref="B2:L14" xr:uid="{F98470EB-ECFB-4A71-8F5F-B5275BDB273C}"/>
  <tableColumns count="11">
    <tableColumn id="1" xr3:uid="{9C973188-EEB2-4F4F-8BBB-B37F88016434}" name="i" totalsRowFunction="count"/>
    <tableColumn id="2" xr3:uid="{E91CA8BC-2BC7-4905-A6BC-64886F173758}" name="x" totalsRowFunction="sum"/>
    <tableColumn id="3" xr3:uid="{D773041F-DE2A-4137-BC70-07495BF16EDA}" name="y" totalsRowFunction="sum"/>
    <tableColumn id="4" xr3:uid="{FCF0AAA1-D80D-4B81-A6A7-8FF24A71C960}" name="log(x)" totalsRowFunction="sum" dataDxfId="18">
      <calculatedColumnFormula>LOG(Table134[[#This Row],[x]])</calculatedColumnFormula>
    </tableColumn>
    <tableColumn id="11" xr3:uid="{EC5B0D87-3170-4CF0-A072-89645D37E05B}" name="log(x)^2" totalsRowFunction="sum" dataDxfId="17">
      <calculatedColumnFormula>Table134[[#This Row],[log(x)]]^2</calculatedColumnFormula>
    </tableColumn>
    <tableColumn id="10" xr3:uid="{21381BCC-ADB3-46C2-8115-8445B2060A7D}" name="log(y)" totalsRowFunction="sum" dataDxfId="16">
      <calculatedColumnFormula>LOG(Table134[[#This Row],[y]])</calculatedColumnFormula>
    </tableColumn>
    <tableColumn id="5" xr3:uid="{5CC5890C-82EB-4259-966B-0CFEE843126D}" name="log(x)*log(y)" totalsRowFunction="sum" dataDxfId="15">
      <calculatedColumnFormula>Table134[[#This Row],[log(x)]]*Table134[[#This Row],[log(y)]]</calculatedColumnFormula>
    </tableColumn>
    <tableColumn id="6" xr3:uid="{69CBFC92-F0B4-4C6F-A43B-B659CB1DDD16}" name="log a + b*log x" dataDxfId="14">
      <calculatedColumnFormula>$F$24+$F$25*Table134[[#This Row],[log(x)]]</calculatedColumnFormula>
    </tableColumn>
    <tableColumn id="7" xr3:uid="{B3EE5776-EA45-4A88-A138-51F19033FB45}" name="err" dataDxfId="13">
      <calculatedColumnFormula>G3-I3</calculatedColumnFormula>
    </tableColumn>
    <tableColumn id="8" xr3:uid="{3FDDB9D3-733D-4D46-80B5-84D8C5E41A29}" name="st" totalsRowFunction="sum" dataDxfId="12">
      <calculatedColumnFormula>(G3-$I$19)^2</calculatedColumnFormula>
    </tableColumn>
    <tableColumn id="9" xr3:uid="{7FC0B5F4-7E5D-4AA0-AD63-3B2ED133D513}" name="sr" totalsRowFunction="sum">
      <calculatedColumnFormula>J3^2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103005-3CF9-4ABD-A2FB-1B5064775E9D}" name="Table16" displayName="Table16" ref="B10:M16" totalsRowShown="0">
  <autoFilter ref="B10:M16" xr:uid="{06103005-3CF9-4ABD-A2FB-1B5064775E9D}"/>
  <tableColumns count="12">
    <tableColumn id="1" xr3:uid="{FC709C4F-AE39-44F1-BBC0-2E260B19583D}" name="iter"/>
    <tableColumn id="2" xr3:uid="{EFD153BC-DA95-46B4-8788-3E6A787F52E9}" name="xl"/>
    <tableColumn id="3" xr3:uid="{E88D6478-1C4D-4172-8DBA-A9ADAF19DDD8}" name="f(xl)" dataDxfId="4">
      <calculatedColumnFormula>(-0.3*(Table16[[#This Row],[xl]])^4)+(1.2*(Table16[[#This Row],[xl]])^3)-(1.8*(Table16[[#This Row],[xl]])^2)+4*Table16[[#This Row],[xl]]</calculatedColumnFormula>
    </tableColumn>
    <tableColumn id="4" xr3:uid="{1D8D79F6-9DAF-4669-8E31-E98656F6381D}" name="x1" dataDxfId="11">
      <calculatedColumnFormula>Table16[[#This Row],[xl]]+Table16[[#This Row],[d]]</calculatedColumnFormula>
    </tableColumn>
    <tableColumn id="5" xr3:uid="{9BB5F90D-2D6E-47B7-ACFD-FF67610955AC}" name="f(x1)" dataDxfId="3">
      <calculatedColumnFormula>(-0.3*(Table16[[#This Row],[x1]])^4)+(1.2*(Table16[[#This Row],[x1]])^3)-(1.8*(Table16[[#This Row],[x1]])^2)+4*Table16[[#This Row],[x1]]</calculatedColumnFormula>
    </tableColumn>
    <tableColumn id="6" xr3:uid="{052B14DB-C3DA-4189-882C-053D9DC36D23}" name="x2" dataDxfId="10">
      <calculatedColumnFormula>Table16[[#This Row],[xu]]-Table16[[#This Row],[d]]</calculatedColumnFormula>
    </tableColumn>
    <tableColumn id="7" xr3:uid="{B13AC970-5D43-40F7-8B8D-FEDE0AF6E582}" name="f(x2)" dataDxfId="2">
      <calculatedColumnFormula>(-0.3*(Table16[[#This Row],[x2]])^4)+(1.2*(Table16[[#This Row],[x2]])^3)-(1.8*(Table16[[#This Row],[x2]])^2)+4*Table16[[#This Row],[x2]]</calculatedColumnFormula>
    </tableColumn>
    <tableColumn id="8" xr3:uid="{04A42D8B-97F8-4759-82A9-ED7BA65D5960}" name="xu"/>
    <tableColumn id="9" xr3:uid="{18BA14FA-CE48-4F5F-BFA9-10B5D8CE5E8D}" name="f(xu)" dataDxfId="1">
      <calculatedColumnFormula>(-0.3*(Table16[[#This Row],[xu]])^4)+(1.2*(Table16[[#This Row],[xu]])^3)-(1.8*(Table16[[#This Row],[xu]])^2)+4*Table16[[#This Row],[xu]]</calculatedColumnFormula>
    </tableColumn>
    <tableColumn id="10" xr3:uid="{E11563E8-2983-49AC-BD63-D760D80E3A7A}" name="d" dataDxfId="9">
      <calculatedColumnFormula>((SQRT(5)-1)/2)*(Table16[[#This Row],[xu]]-Table16[[#This Row],[xl]])</calculatedColumnFormula>
    </tableColumn>
    <tableColumn id="12" xr3:uid="{B8E309DA-FDD1-46F6-B8B9-3E9E9DA9B2EB}" name="1-R" dataDxfId="8">
      <calculatedColumnFormula>1-((SQRT(5)-1)/2)</calculatedColumnFormula>
    </tableColumn>
    <tableColumn id="11" xr3:uid="{AEB99A98-EC66-4855-A99A-EA2E04BCEF36}" name="Err" dataDxfId="0">
      <calculatedColumnFormula>Table16[[#This Row],[1-R]]*((Table16[[#This Row],[xu]]-Table16[[#This Row],[xl]])/((Table16[[#This Row],[x1]]+Table16[[#This Row],[x2]])/2)*100)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F25D-23B3-4883-A54F-EFD5A6AB4F31}">
  <dimension ref="B2:O20"/>
  <sheetViews>
    <sheetView showGridLines="0" tabSelected="1" zoomScale="160" zoomScaleNormal="160" workbookViewId="0">
      <selection activeCell="Q5" sqref="Q5"/>
    </sheetView>
  </sheetViews>
  <sheetFormatPr defaultRowHeight="15" x14ac:dyDescent="0.25"/>
  <cols>
    <col min="2" max="2" width="3.42578125" bestFit="1" customWidth="1"/>
    <col min="3" max="3" width="13.42578125" bestFit="1" customWidth="1"/>
    <col min="4" max="4" width="14.42578125" customWidth="1"/>
    <col min="5" max="5" width="35.28515625" customWidth="1"/>
    <col min="6" max="6" width="13.42578125" hidden="1" customWidth="1"/>
    <col min="7" max="7" width="15.28515625" hidden="1" customWidth="1"/>
    <col min="8" max="8" width="15.140625" hidden="1" customWidth="1"/>
    <col min="9" max="11" width="18" hidden="1" customWidth="1"/>
    <col min="12" max="13" width="13.42578125" bestFit="1" customWidth="1"/>
    <col min="14" max="14" width="13.42578125" customWidth="1"/>
    <col min="15" max="15" width="13.42578125" bestFit="1" customWidth="1"/>
    <col min="25" max="25" width="16.85546875" customWidth="1"/>
  </cols>
  <sheetData>
    <row r="2" spans="2:15" x14ac:dyDescent="0.25">
      <c r="B2" t="s">
        <v>0</v>
      </c>
    </row>
    <row r="4" spans="2:15" ht="15" customHeight="1" x14ac:dyDescent="0.25"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2:15" ht="33.75" customHeight="1" x14ac:dyDescent="0.25"/>
    <row r="6" spans="2:15" ht="21" customHeight="1" x14ac:dyDescent="0.35">
      <c r="C6" s="44" t="s">
        <v>62</v>
      </c>
      <c r="D6" s="45"/>
      <c r="E6" s="45"/>
      <c r="F6" s="45"/>
      <c r="G6" s="45"/>
      <c r="H6" s="45"/>
      <c r="I6" s="45"/>
      <c r="J6" s="45"/>
      <c r="K6" s="45"/>
      <c r="L6" s="45"/>
    </row>
    <row r="7" spans="2:15" x14ac:dyDescent="0.25">
      <c r="B7" s="1" t="s">
        <v>1</v>
      </c>
      <c r="C7" s="2" t="s">
        <v>53</v>
      </c>
      <c r="D7" s="2" t="s">
        <v>55</v>
      </c>
      <c r="E7" s="2" t="s">
        <v>60</v>
      </c>
      <c r="F7" s="3" t="s">
        <v>4</v>
      </c>
      <c r="G7" s="4" t="s">
        <v>5</v>
      </c>
      <c r="H7" s="3" t="s">
        <v>6</v>
      </c>
      <c r="I7" s="4" t="s">
        <v>7</v>
      </c>
      <c r="J7" s="3" t="s">
        <v>8</v>
      </c>
      <c r="K7" s="4" t="s">
        <v>9</v>
      </c>
      <c r="L7" s="2" t="s">
        <v>54</v>
      </c>
      <c r="M7" s="2" t="s">
        <v>56</v>
      </c>
      <c r="N7" s="5" t="s">
        <v>61</v>
      </c>
      <c r="O7" s="5" t="s">
        <v>12</v>
      </c>
    </row>
    <row r="8" spans="2:15" x14ac:dyDescent="0.25">
      <c r="B8" s="6">
        <v>1</v>
      </c>
      <c r="C8" s="7">
        <v>-1</v>
      </c>
      <c r="D8" s="7">
        <v>0</v>
      </c>
      <c r="E8" s="8">
        <f>Table1343[[#This Row],[x2]]-((Table1343[[#This Row],[f(x2)]]*(Table1343[[#This Row],[x1]]-Table1343[[#This Row],[x2]]))/(Table1343[[#This Row],[f(x1)]]-Table1343[[#This Row],[f(x2)]]))</f>
        <v>-0.28742514970059879</v>
      </c>
      <c r="F8" s="7" t="e">
        <f>1/SQRT(Table1343[[#This Row],[x1]])</f>
        <v>#NUM!</v>
      </c>
      <c r="G8" s="7" t="e">
        <f t="shared" ref="G8:G13" si="0">2*LOG((0.0000015/3.7*(0.005))+(2.51/13743*F8))</f>
        <v>#NUM!</v>
      </c>
      <c r="H8" s="7" t="e">
        <f>1/SQRT(Table1343[[#This Row],[x2]])</f>
        <v>#DIV/0!</v>
      </c>
      <c r="I8" s="7" t="e">
        <f t="shared" ref="I8:I13" si="1">2*LOG((0.0000015/3.7*(0.005))+(2.51/13743*H8))</f>
        <v>#DIV/0!</v>
      </c>
      <c r="J8" s="7" t="e">
        <f>1/SQRT(Table1343[[#This Row],[xr]])</f>
        <v>#NUM!</v>
      </c>
      <c r="K8" s="7" t="e">
        <f t="shared" ref="K8:K13" si="2">2*LOG((0.0000015/3.7*(0.005))+(2.51/13743*J8))</f>
        <v>#NUM!</v>
      </c>
      <c r="L8" s="7">
        <f>(-2.75*(Table1343[[#This Row],[x1]])^3)+(18*(Table1343[[#This Row],[x1]])^2)-(21*Table1343[[#This Row],[x1]])-12</f>
        <v>29.75</v>
      </c>
      <c r="M8" s="7">
        <f>(-2.75*(Table1343[[#This Row],[x2]])^3)+(18*(Table1343[[#This Row],[x2]])^2)-(21*Table1343[[#This Row],[x2]])-12</f>
        <v>-12</v>
      </c>
      <c r="N8" s="7">
        <f>(-2.75*(Table1343[[#This Row],[xr]])^3)+(18*(Table1343[[#This Row],[xr]])^2)-(21*Table1343[[#This Row],[xr]])-12</f>
        <v>-4.4117348865680741</v>
      </c>
      <c r="O8" s="9" t="s">
        <v>13</v>
      </c>
    </row>
    <row r="9" spans="2:15" x14ac:dyDescent="0.25">
      <c r="B9" s="6">
        <v>2</v>
      </c>
      <c r="C9" s="7">
        <v>-1</v>
      </c>
      <c r="D9" s="8">
        <v>-0.28742514970059879</v>
      </c>
      <c r="E9" s="8">
        <f>Table1343[[#This Row],[x2]]-((Table1343[[#This Row],[f(x2)]]*(Table1343[[#This Row],[x1]]-Table1343[[#This Row],[x2]]))/(Table1343[[#This Row],[f(x1)]]-Table1343[[#This Row],[f(x2)]]))</f>
        <v>-0.37944891069503667</v>
      </c>
      <c r="F9" s="7" t="e">
        <f>1/SQRT(Table1343[[#This Row],[x1]])</f>
        <v>#NUM!</v>
      </c>
      <c r="G9" s="7" t="e">
        <f t="shared" si="0"/>
        <v>#NUM!</v>
      </c>
      <c r="H9" s="7" t="e">
        <f>1/SQRT(Table1343[[#This Row],[x2]])</f>
        <v>#NUM!</v>
      </c>
      <c r="I9" s="7" t="e">
        <f t="shared" si="1"/>
        <v>#NUM!</v>
      </c>
      <c r="J9" s="7" t="e">
        <f>1/SQRT(Table1343[[#This Row],[xr]])</f>
        <v>#NUM!</v>
      </c>
      <c r="K9" s="7" t="e">
        <f t="shared" si="2"/>
        <v>#NUM!</v>
      </c>
      <c r="L9" s="7">
        <f>(-2.75*(Table1343[[#This Row],[x1]])^3)+(18*(Table1343[[#This Row],[x1]])^2)-(21*Table1343[[#This Row],[x1]])-12</f>
        <v>29.75</v>
      </c>
      <c r="M9" s="7">
        <f>(-2.75*(Table1343[[#This Row],[x2]])^3)+(18*(Table1343[[#This Row],[x2]])^2)-(21*Table1343[[#This Row],[x2]])-12</f>
        <v>-4.4117348865680741</v>
      </c>
      <c r="N9" s="7">
        <f>(-2.75*(Table1343[[#This Row],[xr]])^3)+(18*(Table1343[[#This Row],[xr]])^2)-(21*Table1343[[#This Row],[xr]])-12</f>
        <v>-1.2896638715581012</v>
      </c>
      <c r="O9" s="9">
        <f>ABS((E9-E8)/E9)*100</f>
        <v>24.251950236430492</v>
      </c>
    </row>
    <row r="10" spans="2:15" x14ac:dyDescent="0.25">
      <c r="B10" s="6">
        <v>3</v>
      </c>
      <c r="C10" s="7">
        <v>-1</v>
      </c>
      <c r="D10" s="7">
        <v>-0.37944891069503667</v>
      </c>
      <c r="E10" s="8">
        <f>Table1343[[#This Row],[x2]]-((Table1343[[#This Row],[f(x2)]]*(Table1343[[#This Row],[x1]]-Table1343[[#This Row],[x2]]))/(Table1343[[#This Row],[f(x1)]]-Table1343[[#This Row],[f(x2)]]))</f>
        <v>-0.40523212547610776</v>
      </c>
      <c r="F10" s="7" t="e">
        <f>1/SQRT(Table1343[[#This Row],[x1]])</f>
        <v>#NUM!</v>
      </c>
      <c r="G10" s="7" t="e">
        <f t="shared" si="0"/>
        <v>#NUM!</v>
      </c>
      <c r="H10" s="7" t="e">
        <f>1/SQRT(Table1343[[#This Row],[x2]])</f>
        <v>#NUM!</v>
      </c>
      <c r="I10" s="7" t="e">
        <f t="shared" si="1"/>
        <v>#NUM!</v>
      </c>
      <c r="J10" s="7" t="e">
        <f>1/SQRT(Table1343[[#This Row],[xr]])</f>
        <v>#NUM!</v>
      </c>
      <c r="K10" s="7" t="e">
        <f t="shared" si="2"/>
        <v>#NUM!</v>
      </c>
      <c r="L10" s="7">
        <f>(-2.75*(Table1343[[#This Row],[x1]])^3)+(18*(Table1343[[#This Row],[x1]])^2)-(21*Table1343[[#This Row],[x1]])-12</f>
        <v>29.75</v>
      </c>
      <c r="M10" s="7">
        <f>(-2.75*(Table1343[[#This Row],[x2]])^3)+(18*(Table1343[[#This Row],[x2]])^2)-(21*Table1343[[#This Row],[x2]])-12</f>
        <v>-1.2896638715581012</v>
      </c>
      <c r="N10" s="7">
        <f>(-2.75*(Table1343[[#This Row],[xr]])^3)+(18*(Table1343[[#This Row],[xr]])^2)-(21*Table1343[[#This Row],[xr]])-12</f>
        <v>-0.35129286821635297</v>
      </c>
      <c r="O10" s="9">
        <f t="shared" ref="O10:O13" si="3">ABS((E10-E9)/E10)*100</f>
        <v>6.3625791639244698</v>
      </c>
    </row>
    <row r="11" spans="2:15" x14ac:dyDescent="0.25">
      <c r="B11" s="37">
        <v>4</v>
      </c>
      <c r="C11" s="38">
        <v>-1</v>
      </c>
      <c r="D11" s="38">
        <v>-0.40523212547610776</v>
      </c>
      <c r="E11" s="39">
        <f>Table1343[[#This Row],[x2]]-((Table1343[[#This Row],[f(x2)]]*(Table1343[[#This Row],[x1]]-Table1343[[#This Row],[x2]]))/(Table1343[[#This Row],[f(x1)]]-Table1343[[#This Row],[f(x2)]]))</f>
        <v>-0.41217327958132088</v>
      </c>
      <c r="F11" s="38" t="e">
        <f>1/SQRT(Table1343[[#This Row],[x1]])</f>
        <v>#NUM!</v>
      </c>
      <c r="G11" s="38" t="e">
        <f t="shared" si="0"/>
        <v>#NUM!</v>
      </c>
      <c r="H11" s="38" t="e">
        <f>1/SQRT(Table1343[[#This Row],[x2]])</f>
        <v>#NUM!</v>
      </c>
      <c r="I11" s="38" t="e">
        <f t="shared" si="1"/>
        <v>#NUM!</v>
      </c>
      <c r="J11" s="38" t="e">
        <f>1/SQRT(Table1343[[#This Row],[xr]])</f>
        <v>#NUM!</v>
      </c>
      <c r="K11" s="38" t="e">
        <f t="shared" si="2"/>
        <v>#NUM!</v>
      </c>
      <c r="L11" s="38">
        <f>(-2.75*(Table1343[[#This Row],[x1]])^3)+(18*(Table1343[[#This Row],[x1]])^2)-(21*Table1343[[#This Row],[x1]])-12</f>
        <v>29.75</v>
      </c>
      <c r="M11" s="38">
        <f>(-2.75*(Table1343[[#This Row],[x2]])^3)+(18*(Table1343[[#This Row],[x2]])^2)-(21*Table1343[[#This Row],[x2]])-12</f>
        <v>-0.35129286821635297</v>
      </c>
      <c r="N11" s="38">
        <f>(-2.75*(Table1343[[#This Row],[xr]])^3)+(18*(Table1343[[#This Row],[xr]])^2)-(21*Table1343[[#This Row],[xr]])-12</f>
        <v>-9.3835792859096046E-2</v>
      </c>
      <c r="O11" s="40">
        <f t="shared" si="3"/>
        <v>1.6840378668563465</v>
      </c>
    </row>
    <row r="12" spans="2:15" x14ac:dyDescent="0.25">
      <c r="B12" s="6">
        <v>5</v>
      </c>
      <c r="C12" s="7">
        <v>-1</v>
      </c>
      <c r="D12" s="8">
        <v>-0.41217327958132088</v>
      </c>
      <c r="E12" s="8">
        <f>Table1343[[#This Row],[x2]]-((Table1343[[#This Row],[f(x2)]]*(Table1343[[#This Row],[x1]]-Table1343[[#This Row],[x2]]))/(Table1343[[#This Row],[f(x1)]]-Table1343[[#This Row],[f(x2)]]))</f>
        <v>-0.41402154019892712</v>
      </c>
      <c r="F12" s="7" t="e">
        <f>1/SQRT(Table1343[[#This Row],[x1]])</f>
        <v>#NUM!</v>
      </c>
      <c r="G12" s="7" t="e">
        <f t="shared" si="0"/>
        <v>#NUM!</v>
      </c>
      <c r="H12" s="7" t="e">
        <f>1/SQRT(Table1343[[#This Row],[x2]])</f>
        <v>#NUM!</v>
      </c>
      <c r="I12" s="7" t="e">
        <f t="shared" si="1"/>
        <v>#NUM!</v>
      </c>
      <c r="J12" s="7" t="e">
        <f>1/SQRT(Table1343[[#This Row],[xr]])</f>
        <v>#NUM!</v>
      </c>
      <c r="K12" s="7" t="e">
        <f t="shared" si="2"/>
        <v>#NUM!</v>
      </c>
      <c r="L12" s="7">
        <f>(-2.75*(Table1343[[#This Row],[x1]])^3)+(18*(Table1343[[#This Row],[x1]])^2)-(21*Table1343[[#This Row],[x1]])-12</f>
        <v>29.75</v>
      </c>
      <c r="M12" s="7">
        <f>(-2.75*(Table1343[[#This Row],[x2]])^3)+(18*(Table1343[[#This Row],[x2]])^2)-(21*Table1343[[#This Row],[x2]])-12</f>
        <v>-9.3835792859096046E-2</v>
      </c>
      <c r="N12" s="7">
        <f>(-2.75*(Table1343[[#This Row],[xr]])^3)+(18*(Table1343[[#This Row],[xr]])^2)-(21*Table1343[[#This Row],[xr]])-12</f>
        <v>-2.4933806553860904E-2</v>
      </c>
      <c r="O12" s="9">
        <f t="shared" si="3"/>
        <v>0.44641653589284042</v>
      </c>
    </row>
    <row r="13" spans="2:15" x14ac:dyDescent="0.25">
      <c r="B13" s="6">
        <v>6</v>
      </c>
      <c r="C13" s="7">
        <v>-1</v>
      </c>
      <c r="D13" s="7">
        <v>-0.41402154019892712</v>
      </c>
      <c r="E13" s="8">
        <f>Table1343[[#This Row],[x2]]-((Table1343[[#This Row],[f(x2)]]*(Table1343[[#This Row],[x1]]-Table1343[[#This Row],[x2]]))/(Table1343[[#This Row],[f(x1)]]-Table1343[[#This Row],[f(x2)]]))</f>
        <v>-0.41451224401228687</v>
      </c>
      <c r="F13" s="7" t="e">
        <f>1/SQRT(Table1343[[#This Row],[x1]])</f>
        <v>#NUM!</v>
      </c>
      <c r="G13" s="7" t="e">
        <f t="shared" si="0"/>
        <v>#NUM!</v>
      </c>
      <c r="H13" s="7" t="e">
        <f>1/SQRT(Table1343[[#This Row],[x2]])</f>
        <v>#NUM!</v>
      </c>
      <c r="I13" s="7" t="e">
        <f t="shared" si="1"/>
        <v>#NUM!</v>
      </c>
      <c r="J13" s="7" t="e">
        <f>1/SQRT(Table1343[[#This Row],[xr]])</f>
        <v>#NUM!</v>
      </c>
      <c r="K13" s="7" t="e">
        <f t="shared" si="2"/>
        <v>#NUM!</v>
      </c>
      <c r="L13" s="7">
        <f>(-2.75*(Table1343[[#This Row],[x1]])^3)+(18*(Table1343[[#This Row],[x1]])^2)-(21*Table1343[[#This Row],[x1]])-12</f>
        <v>29.75</v>
      </c>
      <c r="M13" s="7">
        <f>(-2.75*(Table1343[[#This Row],[x2]])^3)+(18*(Table1343[[#This Row],[x2]])^2)-(21*Table1343[[#This Row],[x2]])-12</f>
        <v>-2.4933806553860904E-2</v>
      </c>
      <c r="N13" s="7">
        <f>(-2.75*(Table1343[[#This Row],[xr]])^3)+(18*(Table1343[[#This Row],[xr]])^2)-(21*Table1343[[#This Row],[xr]])-12</f>
        <v>-6.6161035745349039E-3</v>
      </c>
      <c r="O13" s="9">
        <f t="shared" si="3"/>
        <v>0.11838101779816287</v>
      </c>
    </row>
    <row r="14" spans="2:15" x14ac:dyDescent="0.25">
      <c r="B14" s="13">
        <v>7</v>
      </c>
      <c r="C14" s="10">
        <v>-1</v>
      </c>
      <c r="D14" s="10">
        <v>-0.41451224401228687</v>
      </c>
      <c r="E14" s="41">
        <f>Table1343[[#This Row],[x2]]-((Table1343[[#This Row],[f(x2)]]*(Table1343[[#This Row],[x1]]-Table1343[[#This Row],[x2]]))/(Table1343[[#This Row],[f(x1)]]-Table1343[[#This Row],[f(x2)]]))</f>
        <v>-0.41464242170526627</v>
      </c>
      <c r="F14" s="42" t="e">
        <f>1/SQRT(Table1343[[#This Row],[x1]])</f>
        <v>#NUM!</v>
      </c>
      <c r="G14" s="42" t="e">
        <f>2*LOG((0.0000015/3.7*(0.005))+(2.51/13743*F14))</f>
        <v>#NUM!</v>
      </c>
      <c r="H14" s="42" t="e">
        <f>1/SQRT(Table1343[[#This Row],[x2]])</f>
        <v>#NUM!</v>
      </c>
      <c r="I14" s="42" t="e">
        <f>2*LOG((0.0000015/3.7*(0.005))+(2.51/13743*H14))</f>
        <v>#NUM!</v>
      </c>
      <c r="J14" s="42" t="e">
        <f>1/SQRT(Table1343[[#This Row],[xr]])</f>
        <v>#NUM!</v>
      </c>
      <c r="K14" s="42" t="e">
        <f>2*LOG((0.0000015/3.7*(0.005))+(2.51/13743*J14))</f>
        <v>#NUM!</v>
      </c>
      <c r="L14" s="42">
        <f>(-2.75*(Table1343[[#This Row],[x1]])^3)+(18*(Table1343[[#This Row],[x1]])^2)-(21*Table1343[[#This Row],[x1]])-12</f>
        <v>29.75</v>
      </c>
      <c r="M14" s="42">
        <f>(-2.75*(Table1343[[#This Row],[x2]])^3)+(18*(Table1343[[#This Row],[x2]])^2)-(21*Table1343[[#This Row],[x2]])-12</f>
        <v>-6.6161035745349039E-3</v>
      </c>
      <c r="N14" s="43">
        <f>(-2.75*(Table1343[[#This Row],[xr]])^3)+(18*(Table1343[[#This Row],[xr]])^2)-(21*Table1343[[#This Row],[xr]])-12</f>
        <v>-1.7549108548013947E-3</v>
      </c>
      <c r="O14" s="14">
        <f>ABS((E14-E13)/E14)*100</f>
        <v>3.1395169950058158E-2</v>
      </c>
    </row>
    <row r="15" spans="2:15" x14ac:dyDescent="0.25">
      <c r="B15" s="6">
        <v>8</v>
      </c>
      <c r="C15" s="7">
        <v>-1</v>
      </c>
      <c r="D15" s="7">
        <v>-0.41464242170526627</v>
      </c>
      <c r="E15" s="34">
        <f>Table1343[[#This Row],[x2]]-((Table1343[[#This Row],[f(x2)]]*(Table1343[[#This Row],[x1]]-Table1343[[#This Row],[x2]]))/(Table1343[[#This Row],[f(x1)]]-Table1343[[#This Row],[f(x2)]]))</f>
        <v>-0.41467694909268149</v>
      </c>
      <c r="F15" s="35" t="e">
        <f>1/SQRT(Table1343[[#This Row],[x1]])</f>
        <v>#NUM!</v>
      </c>
      <c r="G15" s="35" t="e">
        <f>2*LOG((0.0000015/3.7*(0.005))+(2.51/13743*F15))</f>
        <v>#NUM!</v>
      </c>
      <c r="H15" s="35" t="e">
        <f>1/SQRT(Table1343[[#This Row],[x2]])</f>
        <v>#NUM!</v>
      </c>
      <c r="I15" s="35" t="e">
        <f>2*LOG((0.0000015/3.7*(0.005))+(2.51/13743*H15))</f>
        <v>#NUM!</v>
      </c>
      <c r="J15" s="35" t="e">
        <f>1/SQRT(Table1343[[#This Row],[xr]])</f>
        <v>#NUM!</v>
      </c>
      <c r="K15" s="35" t="e">
        <f>2*LOG((0.0000015/3.7*(0.005))+(2.51/13743*J15))</f>
        <v>#NUM!</v>
      </c>
      <c r="L15" s="35">
        <f>(-2.75*(Table1343[[#This Row],[x1]])^3)+(18*(Table1343[[#This Row],[x1]])^2)-(21*Table1343[[#This Row],[x1]])-12</f>
        <v>29.75</v>
      </c>
      <c r="M15" s="35">
        <f>(-2.75*(Table1343[[#This Row],[x2]])^3)+(18*(Table1343[[#This Row],[x2]])^2)-(21*Table1343[[#This Row],[x2]])-12</f>
        <v>-1.7549108548013947E-3</v>
      </c>
      <c r="N15" s="36">
        <f>(-2.75*(Table1343[[#This Row],[xr]])^3)+(18*(Table1343[[#This Row],[xr]])^2)-(21*Table1343[[#This Row],[xr]])-12</f>
        <v>-4.6544152946026429E-4</v>
      </c>
      <c r="O15" s="9">
        <f>ABS((E15-E14)/E15)*100</f>
        <v>8.3263339066142472E-3</v>
      </c>
    </row>
    <row r="16" spans="2:15" x14ac:dyDescent="0.25">
      <c r="B16" s="6">
        <v>9</v>
      </c>
      <c r="C16" s="7">
        <v>-1</v>
      </c>
      <c r="D16" s="7">
        <v>-0.41467694909268149</v>
      </c>
      <c r="E16" s="34">
        <f>Table1343[[#This Row],[x2]]-((Table1343[[#This Row],[f(x2)]]*(Table1343[[#This Row],[x1]]-Table1343[[#This Row],[x2]]))/(Table1343[[#This Row],[f(x1)]]-Table1343[[#This Row],[f(x2)]]))</f>
        <v>-0.41468610638323139</v>
      </c>
      <c r="F16" s="35" t="e">
        <f>1/SQRT(Table1343[[#This Row],[x1]])</f>
        <v>#NUM!</v>
      </c>
      <c r="G16" s="35" t="e">
        <f>2*LOG((0.0000015/3.7*(0.005))+(2.51/13743*F16))</f>
        <v>#NUM!</v>
      </c>
      <c r="H16" s="35" t="e">
        <f>1/SQRT(Table1343[[#This Row],[x2]])</f>
        <v>#NUM!</v>
      </c>
      <c r="I16" s="35" t="e">
        <f>2*LOG((0.0000015/3.7*(0.005))+(2.51/13743*H16))</f>
        <v>#NUM!</v>
      </c>
      <c r="J16" s="35" t="e">
        <f>1/SQRT(Table1343[[#This Row],[xr]])</f>
        <v>#NUM!</v>
      </c>
      <c r="K16" s="35" t="e">
        <f>2*LOG((0.0000015/3.7*(0.005))+(2.51/13743*J16))</f>
        <v>#NUM!</v>
      </c>
      <c r="L16" s="35">
        <f>(-2.75*(Table1343[[#This Row],[x1]])^3)+(18*(Table1343[[#This Row],[x1]])^2)-(21*Table1343[[#This Row],[x1]])-12</f>
        <v>29.75</v>
      </c>
      <c r="M16" s="35">
        <f>(-2.75*(Table1343[[#This Row],[x2]])^3)+(18*(Table1343[[#This Row],[x2]])^2)-(21*Table1343[[#This Row],[x2]])-12</f>
        <v>-4.6544152946026429E-4</v>
      </c>
      <c r="N16" s="36">
        <f>(-2.75*(Table1343[[#This Row],[xr]])^3)+(18*(Table1343[[#This Row],[xr]])^2)-(21*Table1343[[#This Row],[xr]])-12</f>
        <v>-1.2344226393068425E-4</v>
      </c>
      <c r="O16" s="9">
        <f>ABS((E16-E15)/E16)*100</f>
        <v>2.2082462877202448E-3</v>
      </c>
    </row>
    <row r="18" spans="2:5" x14ac:dyDescent="0.25">
      <c r="C18" t="s">
        <v>14</v>
      </c>
    </row>
    <row r="19" spans="2:5" ht="23.25" x14ac:dyDescent="0.35">
      <c r="C19" s="46" t="s">
        <v>64</v>
      </c>
    </row>
    <row r="20" spans="2:5" x14ac:dyDescent="0.25">
      <c r="B20" s="15"/>
      <c r="C20" s="10" t="s">
        <v>63</v>
      </c>
      <c r="E20" s="42" t="s">
        <v>65</v>
      </c>
    </row>
  </sheetData>
  <mergeCells count="1">
    <mergeCell ref="C4:L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1A0D-3AE3-4682-9E7D-B6C29936FEE7}">
  <dimension ref="C2:L23"/>
  <sheetViews>
    <sheetView showGridLines="0" zoomScale="205" zoomScaleNormal="205" workbookViewId="0">
      <selection activeCell="F23" sqref="F23"/>
    </sheetView>
  </sheetViews>
  <sheetFormatPr defaultRowHeight="15" x14ac:dyDescent="0.25"/>
  <cols>
    <col min="4" max="4" width="17.28515625" customWidth="1"/>
    <col min="5" max="5" width="18.7109375" customWidth="1"/>
    <col min="6" max="6" width="16.7109375" customWidth="1"/>
    <col min="7" max="7" width="16.140625" customWidth="1"/>
  </cols>
  <sheetData>
    <row r="2" spans="3:12" x14ac:dyDescent="0.25">
      <c r="C2" t="s">
        <v>15</v>
      </c>
    </row>
    <row r="3" spans="3:12" x14ac:dyDescent="0.25">
      <c r="C3" s="27"/>
      <c r="D3" s="27"/>
      <c r="E3" s="27"/>
      <c r="F3" s="27"/>
      <c r="G3" s="27"/>
      <c r="H3" s="27"/>
      <c r="I3" s="27"/>
      <c r="J3" s="27"/>
      <c r="K3" s="27"/>
      <c r="L3" s="27"/>
    </row>
    <row r="5" spans="3:12" x14ac:dyDescent="0.25">
      <c r="C5" s="27" t="s">
        <v>67</v>
      </c>
      <c r="D5" s="28"/>
      <c r="E5" s="28"/>
      <c r="F5" s="28"/>
      <c r="G5" s="28"/>
      <c r="H5" s="28"/>
      <c r="I5" s="28"/>
      <c r="J5" s="28"/>
    </row>
    <row r="7" spans="3:12" x14ac:dyDescent="0.25">
      <c r="L7" t="s">
        <v>66</v>
      </c>
    </row>
    <row r="8" spans="3:12" x14ac:dyDescent="0.25">
      <c r="C8" s="12" t="s">
        <v>1</v>
      </c>
      <c r="D8" s="16" t="s">
        <v>16</v>
      </c>
      <c r="E8" s="16" t="s">
        <v>17</v>
      </c>
      <c r="F8" s="16" t="s">
        <v>18</v>
      </c>
      <c r="G8" s="11" t="s">
        <v>19</v>
      </c>
    </row>
    <row r="9" spans="3:12" x14ac:dyDescent="0.25">
      <c r="C9" s="17">
        <v>0</v>
      </c>
      <c r="D9" s="18">
        <v>-1</v>
      </c>
      <c r="E9" s="18">
        <f>(-2.75*(Table1[[#This Row],[x]])^3)+(18*(Table1[[#This Row],[x]])^2)-(21*Table1[[#This Row],[x]])-12</f>
        <v>29.75</v>
      </c>
      <c r="F9" s="18">
        <f>(-8.25*(Table1[[#This Row],[x]])^2)+(36*(Table1[[#This Row],[x]]))-21</f>
        <v>-65.25</v>
      </c>
      <c r="G9" s="19">
        <v>100</v>
      </c>
    </row>
    <row r="10" spans="3:12" x14ac:dyDescent="0.25">
      <c r="C10" s="17">
        <v>1</v>
      </c>
      <c r="D10" s="18">
        <f>D9 - E9/F9</f>
        <v>-0.54406130268199226</v>
      </c>
      <c r="E10" s="18">
        <f>(-2.75*(Table1[[#This Row],[x]])^3)+(18*(Table1[[#This Row],[x]])^2)-(21*Table1[[#This Row],[x]])-12</f>
        <v>5.196205917338542</v>
      </c>
      <c r="F10" s="18">
        <f>(-8.25*(Table1[[#This Row],[x]])^2)+(36*(Table1[[#This Row],[x]]))-21</f>
        <v>-43.028229180428937</v>
      </c>
      <c r="G10" s="19">
        <f>ABS((D10 - D9) / D10) * 100</f>
        <v>83.802816901408477</v>
      </c>
    </row>
    <row r="11" spans="3:12" x14ac:dyDescent="0.25">
      <c r="C11" s="17">
        <v>2</v>
      </c>
      <c r="D11" s="18">
        <f t="shared" ref="D11:D16" si="0">D10 - E10/F10</f>
        <v>-0.42329858443138862</v>
      </c>
      <c r="E11" s="18">
        <f>(-2.75*(Table1[[#This Row],[x]])^3)+(18*(Table1[[#This Row],[x]])^2)-(21*Table1[[#This Row],[x]])-12</f>
        <v>0.3231209516352056</v>
      </c>
      <c r="F11" s="18">
        <f>(-8.25*(Table1[[#This Row],[x]])^2)+(36*(Table1[[#This Row],[x]]))-21</f>
        <v>-37.71699799507833</v>
      </c>
      <c r="G11" s="19">
        <f t="shared" ref="G11:G16" si="1">ABS((D11 - D10) / D11) * 100</f>
        <v>28.528968130810689</v>
      </c>
    </row>
    <row r="12" spans="3:12" x14ac:dyDescent="0.25">
      <c r="C12" s="17">
        <v>3</v>
      </c>
      <c r="D12" s="18">
        <f t="shared" si="0"/>
        <v>-0.41473159954893934</v>
      </c>
      <c r="E12" s="18">
        <f>(-2.75*(Table1[[#This Row],[x]])^3)+(18*(Table1[[#This Row],[x]])^2)-(21*Table1[[#This Row],[x]])-12</f>
        <v>1.5756538686027E-3</v>
      </c>
      <c r="F12" s="18">
        <f>(-8.25*(Table1[[#This Row],[x]])^2)+(36*(Table1[[#This Row],[x]]))-21</f>
        <v>-37.349356555993296</v>
      </c>
      <c r="G12" s="19">
        <f t="shared" si="1"/>
        <v>2.0656696744995324</v>
      </c>
    </row>
    <row r="13" spans="3:12" x14ac:dyDescent="0.25">
      <c r="C13" s="47">
        <v>4</v>
      </c>
      <c r="D13" s="20">
        <f t="shared" si="0"/>
        <v>-0.41468941264094694</v>
      </c>
      <c r="E13" s="20">
        <f>(-2.75*(Table1[[#This Row],[x]])^3)+(18*(Table1[[#This Row],[x]])^2)-(21*Table1[[#This Row],[x]])-12</f>
        <v>3.812445470430248E-8</v>
      </c>
      <c r="F13" s="20">
        <f>(-8.25*(Table1[[#This Row],[x]])^2)+(36*(Table1[[#This Row],[x]]))-21</f>
        <v>-37.347549153965161</v>
      </c>
      <c r="G13" s="48">
        <f t="shared" si="1"/>
        <v>1.0173133604674409E-2</v>
      </c>
    </row>
    <row r="14" spans="3:12" x14ac:dyDescent="0.25">
      <c r="C14" s="17">
        <v>5</v>
      </c>
      <c r="D14" s="18">
        <f t="shared" si="0"/>
        <v>-0.41468941162014489</v>
      </c>
      <c r="E14" s="18">
        <f>(-2.75*(Table1[[#This Row],[x]])^3)+(18*(Table1[[#This Row],[x]])^2)-(21*Table1[[#This Row],[x]])-12</f>
        <v>0</v>
      </c>
      <c r="F14" s="18">
        <f>(-8.25*(Table1[[#This Row],[x]])^2)+(36*(Table1[[#This Row],[x]]))-21</f>
        <v>-37.347549110231576</v>
      </c>
      <c r="G14" s="19">
        <f t="shared" si="1"/>
        <v>2.4616062657805935E-7</v>
      </c>
    </row>
    <row r="15" spans="3:12" x14ac:dyDescent="0.25">
      <c r="C15" s="17">
        <v>6</v>
      </c>
      <c r="D15" s="18">
        <f t="shared" si="0"/>
        <v>-0.41468941162014489</v>
      </c>
      <c r="E15" s="18">
        <f>(-2.75*(Table1[[#This Row],[x]])^3)+(18*(Table1[[#This Row],[x]])^2)-(21*Table1[[#This Row],[x]])-12</f>
        <v>0</v>
      </c>
      <c r="F15" s="18">
        <f>(-8.25*(Table1[[#This Row],[x]])^2)+(36*(Table1[[#This Row],[x]]))-21</f>
        <v>-37.347549110231576</v>
      </c>
      <c r="G15" s="19">
        <f t="shared" si="1"/>
        <v>0</v>
      </c>
    </row>
    <row r="16" spans="3:12" x14ac:dyDescent="0.25">
      <c r="C16" s="17">
        <v>7</v>
      </c>
      <c r="D16" s="18">
        <f t="shared" si="0"/>
        <v>-0.41468941162014489</v>
      </c>
      <c r="E16" s="18">
        <f>(-2.75*(Table1[[#This Row],[x]])^3)+(18*(Table1[[#This Row],[x]])^2)-(21*Table1[[#This Row],[x]])-12</f>
        <v>0</v>
      </c>
      <c r="F16" s="18">
        <f>(-8.25*(Table1[[#This Row],[x]])^2)+(36*(Table1[[#This Row],[x]]))-21</f>
        <v>-37.347549110231576</v>
      </c>
      <c r="G16" s="19">
        <f t="shared" si="1"/>
        <v>0</v>
      </c>
    </row>
    <row r="17" spans="3:7" x14ac:dyDescent="0.25">
      <c r="C17" s="17">
        <v>8</v>
      </c>
      <c r="D17" s="18">
        <f>D16 - E16/F16</f>
        <v>-0.41468941162014489</v>
      </c>
      <c r="E17" s="18">
        <f>(-2.75*(Table1[[#This Row],[x]])^3)+(18*(Table1[[#This Row],[x]])^2)-(21*Table1[[#This Row],[x]])-12</f>
        <v>0</v>
      </c>
      <c r="F17" s="18">
        <f>(-8.25*(Table1[[#This Row],[x]])^2)+(36*(Table1[[#This Row],[x]]))-21</f>
        <v>-37.347549110231576</v>
      </c>
      <c r="G17" s="19">
        <f>ABS((D17 - D16) / D17) * 100</f>
        <v>0</v>
      </c>
    </row>
    <row r="18" spans="3:7" x14ac:dyDescent="0.25">
      <c r="C18" s="17">
        <v>9</v>
      </c>
      <c r="D18" s="18">
        <f>D17 - E17/F17</f>
        <v>-0.41468941162014489</v>
      </c>
      <c r="E18" s="18">
        <f>(-2.75*(Table1[[#This Row],[x]])^3)+(18*(Table1[[#This Row],[x]])^2)-(21*Table1[[#This Row],[x]])-12</f>
        <v>0</v>
      </c>
      <c r="F18" s="18">
        <f>(-8.25*(Table1[[#This Row],[x]])^2)+(36*(Table1[[#This Row],[x]]))-21</f>
        <v>-37.347549110231576</v>
      </c>
      <c r="G18" s="19">
        <f>ABS((D18 - D17) / D18) * 100</f>
        <v>0</v>
      </c>
    </row>
    <row r="19" spans="3:7" x14ac:dyDescent="0.25">
      <c r="C19" s="17">
        <v>10</v>
      </c>
      <c r="D19" s="18">
        <f>D18 - E18/F18</f>
        <v>-0.41468941162014489</v>
      </c>
      <c r="E19" s="18">
        <f>(-2.75*(Table1[[#This Row],[x]])^3)+(18*(Table1[[#This Row],[x]])^2)-(21*Table1[[#This Row],[x]])-12</f>
        <v>0</v>
      </c>
      <c r="F19" s="18">
        <f>(-8.25*(Table1[[#This Row],[x]])^2)+(36*(Table1[[#This Row],[x]]))-21</f>
        <v>-37.347549110231576</v>
      </c>
      <c r="G19" s="19">
        <f>ABS((D19 - D18) / D19) * 100</f>
        <v>0</v>
      </c>
    </row>
    <row r="20" spans="3:7" x14ac:dyDescent="0.25">
      <c r="C20" s="49">
        <v>11</v>
      </c>
      <c r="D20" s="50">
        <f>D19 - E19/F19</f>
        <v>-0.41468941162014489</v>
      </c>
      <c r="E20" s="50">
        <f>(-2.75*(Table1[[#This Row],[x]])^3)+(18*(Table1[[#This Row],[x]])^2)-(21*Table1[[#This Row],[x]])-12</f>
        <v>0</v>
      </c>
      <c r="F20" s="50">
        <f>(-8.25*(Table1[[#This Row],[x]])^2)+(36*(Table1[[#This Row],[x]]))-21</f>
        <v>-37.347549110231576</v>
      </c>
      <c r="G20" s="51">
        <f>ABS((D20 - D19) / D20) * 100</f>
        <v>0</v>
      </c>
    </row>
    <row r="22" spans="3:7" ht="23.25" x14ac:dyDescent="0.35">
      <c r="C22" s="46" t="s">
        <v>64</v>
      </c>
    </row>
    <row r="23" spans="3:7" x14ac:dyDescent="0.25">
      <c r="C23" s="15" t="s">
        <v>68</v>
      </c>
    </row>
  </sheetData>
  <mergeCells count="2">
    <mergeCell ref="C3:L3"/>
    <mergeCell ref="C5:J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98FF-B0EA-4754-945C-AFA321A19E3F}">
  <dimension ref="A1:Q12"/>
  <sheetViews>
    <sheetView showGridLines="0" zoomScale="145" zoomScaleNormal="145" workbookViewId="0">
      <selection activeCell="F16" sqref="F16"/>
    </sheetView>
  </sheetViews>
  <sheetFormatPr defaultRowHeight="15" x14ac:dyDescent="0.25"/>
  <cols>
    <col min="6" max="6" width="12" bestFit="1" customWidth="1"/>
    <col min="7" max="7" width="14" customWidth="1"/>
  </cols>
  <sheetData>
    <row r="1" spans="1:17" x14ac:dyDescent="0.2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7" x14ac:dyDescent="0.25">
      <c r="A2">
        <v>1E-3</v>
      </c>
      <c r="B2">
        <v>-6</v>
      </c>
      <c r="C2">
        <f>(B3-B2)/(A3-A2)</f>
        <v>1.0623232323232343</v>
      </c>
      <c r="D2">
        <f>(C3-C2)/(A4-A2)</f>
        <v>0.53888551062462442</v>
      </c>
      <c r="E2">
        <f>(D3-D2)/(A5-A2)</f>
        <v>0.27147660997559903</v>
      </c>
      <c r="F2">
        <f>(E3-E2)/(A6-A2)</f>
        <v>6.5458088491124784E-3</v>
      </c>
      <c r="G2">
        <f>(F3-F2)/(A7-A2)</f>
        <v>-1.0816327766313512</v>
      </c>
    </row>
    <row r="3" spans="1:17" ht="18.75" x14ac:dyDescent="0.3">
      <c r="A3">
        <v>0.1</v>
      </c>
      <c r="B3">
        <v>-5.8948299999999998</v>
      </c>
      <c r="C3">
        <f t="shared" ref="C3:C7" si="0">(B4-B3)/(A4-A3)</f>
        <v>1.223449999999997</v>
      </c>
      <c r="D3">
        <f t="shared" ref="D3:D6" si="1">(C4-C3)/(A5-A3)</f>
        <v>0.70150000000000823</v>
      </c>
      <c r="E3">
        <f t="shared" ref="E3" si="2">(D4-D3)/(A6-A3)</f>
        <v>0.27801587301586239</v>
      </c>
      <c r="F3">
        <f>(E4-E3)/(A7-A3)</f>
        <v>-1.2903318903318777</v>
      </c>
      <c r="K3" s="21"/>
      <c r="Q3" s="21"/>
    </row>
    <row r="4" spans="1:17" x14ac:dyDescent="0.25">
      <c r="A4">
        <v>0.3</v>
      </c>
      <c r="B4">
        <v>-5.6501400000000004</v>
      </c>
      <c r="C4">
        <f t="shared" si="0"/>
        <v>1.5742000000000012</v>
      </c>
      <c r="D4">
        <f t="shared" si="1"/>
        <v>0.9517142857142844</v>
      </c>
      <c r="E4">
        <f>(D5-D4)/(A7-A4)</f>
        <v>-1.1413492063492028</v>
      </c>
    </row>
    <row r="5" spans="1:17" x14ac:dyDescent="0.25">
      <c r="A5">
        <v>0.6</v>
      </c>
      <c r="B5">
        <v>-5.17788</v>
      </c>
      <c r="C5">
        <f t="shared" si="0"/>
        <v>2.2404000000000002</v>
      </c>
      <c r="D5">
        <f t="shared" si="1"/>
        <v>-7.5499999999997985E-2</v>
      </c>
    </row>
    <row r="6" spans="1:17" x14ac:dyDescent="0.25">
      <c r="A6">
        <v>1</v>
      </c>
      <c r="B6">
        <v>-4.28172</v>
      </c>
      <c r="C6">
        <f t="shared" si="0"/>
        <v>2.1951000000000014</v>
      </c>
    </row>
    <row r="7" spans="1:17" x14ac:dyDescent="0.25">
      <c r="A7">
        <v>1.2</v>
      </c>
      <c r="B7">
        <v>-3.8426999999999998</v>
      </c>
      <c r="J7" s="15" t="s">
        <v>74</v>
      </c>
      <c r="K7" s="15"/>
      <c r="L7" s="15"/>
      <c r="M7" s="15"/>
      <c r="N7" s="15"/>
      <c r="O7" s="15"/>
      <c r="P7" s="15"/>
    </row>
    <row r="8" spans="1:17" x14ac:dyDescent="0.25">
      <c r="J8" s="15" t="s">
        <v>72</v>
      </c>
    </row>
    <row r="11" spans="1:17" x14ac:dyDescent="0.25">
      <c r="B11" t="s">
        <v>73</v>
      </c>
    </row>
    <row r="12" spans="1:17" ht="18.75" x14ac:dyDescent="0.3">
      <c r="B12" s="15" t="s">
        <v>26</v>
      </c>
      <c r="C12" s="15">
        <f>B2 + C2*(0.8-A2) + D2*(0.8-A2)*(0.8-A3) + E2*(0.8-A2)*(0.8-A3)*(0.8-A4) + F2*(0.8-A2)*(0.8-A3)*(0.8-A4)*(0.8-A5) + G2*(0.8-A2)*(0.8-A3)*(0.8-A4)*(0.8-A5)*(0.8-A6)</f>
        <v>-4.7614213859733781</v>
      </c>
      <c r="P12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DD1-F316-4BC3-BF94-B1797A847EAB}">
  <dimension ref="B2:L31"/>
  <sheetViews>
    <sheetView showGridLines="0" zoomScale="160" zoomScaleNormal="160" workbookViewId="0">
      <selection activeCell="H29" sqref="H29"/>
    </sheetView>
  </sheetViews>
  <sheetFormatPr defaultRowHeight="15" x14ac:dyDescent="0.25"/>
  <cols>
    <col min="1" max="1" width="52.42578125" customWidth="1"/>
    <col min="2" max="2" width="8.140625" customWidth="1"/>
    <col min="3" max="3" width="7.5703125" customWidth="1"/>
    <col min="5" max="5" width="10.42578125" customWidth="1"/>
    <col min="8" max="8" width="16.42578125" customWidth="1"/>
    <col min="9" max="9" width="16.85546875" customWidth="1"/>
    <col min="10" max="10" width="16" customWidth="1"/>
  </cols>
  <sheetData>
    <row r="2" spans="2:12" x14ac:dyDescent="0.25">
      <c r="B2" t="s">
        <v>1</v>
      </c>
      <c r="C2" t="s">
        <v>16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19</v>
      </c>
      <c r="K2" t="s">
        <v>33</v>
      </c>
      <c r="L2" t="s">
        <v>34</v>
      </c>
    </row>
    <row r="3" spans="2:12" x14ac:dyDescent="0.25">
      <c r="B3">
        <v>1</v>
      </c>
      <c r="C3">
        <v>0.65</v>
      </c>
      <c r="D3">
        <v>0.23</v>
      </c>
      <c r="E3">
        <f>LOG(Table134[[#This Row],[x]])</f>
        <v>-0.18708664335714442</v>
      </c>
      <c r="F3">
        <f>Table134[[#This Row],[log(x)]]^2</f>
        <v>3.5001412122643349E-2</v>
      </c>
      <c r="G3">
        <f>LOG(Table134[[#This Row],[y]])</f>
        <v>-0.63827216398240705</v>
      </c>
      <c r="H3">
        <f>Table134[[#This Row],[log(x)]]*Table134[[#This Row],[log(y)]]</f>
        <v>0.11941219670776938</v>
      </c>
      <c r="I3">
        <f>$F$24+$F$25*Table134[[#This Row],[log(x)]]</f>
        <v>-0.675846064525504</v>
      </c>
      <c r="J3">
        <f t="shared" ref="J3:J8" si="0">G3-I3</f>
        <v>3.757390054309695E-2</v>
      </c>
      <c r="K3">
        <f>(G3-$I$19)^2</f>
        <v>0.6502083148453891</v>
      </c>
      <c r="L3">
        <f t="shared" ref="L3:L8" si="1">J3^2</f>
        <v>1.4117980020225413E-3</v>
      </c>
    </row>
    <row r="4" spans="2:12" x14ac:dyDescent="0.25">
      <c r="B4">
        <v>2</v>
      </c>
      <c r="C4">
        <v>0.85</v>
      </c>
      <c r="D4">
        <v>0.42</v>
      </c>
      <c r="E4">
        <f>LOG(Table134[[#This Row],[x]])</f>
        <v>-7.0581074285707285E-2</v>
      </c>
      <c r="F4">
        <f>Table134[[#This Row],[log(x)]]^2</f>
        <v>4.9816880473245303E-3</v>
      </c>
      <c r="G4">
        <f>LOG(Table134[[#This Row],[y]])</f>
        <v>-0.37675070960209955</v>
      </c>
      <c r="H4">
        <f>Table134[[#This Row],[log(x)]]*Table134[[#This Row],[log(y)]]</f>
        <v>2.659146982161872E-2</v>
      </c>
      <c r="I4">
        <f>$F$24+$F$25*Table134[[#This Row],[log(x)]]</f>
        <v>-0.36326651023129464</v>
      </c>
      <c r="J4">
        <f t="shared" si="0"/>
        <v>-1.3484199370804917E-2</v>
      </c>
      <c r="K4">
        <f t="shared" ref="K4:K14" si="2">(G4-$I$19)^2</f>
        <v>0.2968435443382752</v>
      </c>
      <c r="L4">
        <f t="shared" si="1"/>
        <v>1.8182363267161571E-4</v>
      </c>
    </row>
    <row r="5" spans="2:12" x14ac:dyDescent="0.25">
      <c r="B5">
        <v>3</v>
      </c>
      <c r="C5">
        <v>1.07</v>
      </c>
      <c r="D5">
        <v>0.78</v>
      </c>
      <c r="E5">
        <f>LOG(Table134[[#This Row],[x]])</f>
        <v>2.9383777685209667E-2</v>
      </c>
      <c r="F5">
        <f>Table134[[#This Row],[log(x)]]^2</f>
        <v>8.6340639105382555E-4</v>
      </c>
      <c r="G5">
        <f>LOG(Table134[[#This Row],[y]])</f>
        <v>-0.10790539730951958</v>
      </c>
      <c r="H5">
        <f>Table134[[#This Row],[log(x)]]*Table134[[#This Row],[log(y)]]</f>
        <v>-3.1706682055771445E-3</v>
      </c>
      <c r="I5">
        <f>$F$24+$F$25*Table134[[#This Row],[log(x)]]</f>
        <v>-9.506500601825317E-2</v>
      </c>
      <c r="J5">
        <f t="shared" si="0"/>
        <v>-1.2840391291266406E-2</v>
      </c>
      <c r="K5">
        <f t="shared" si="2"/>
        <v>7.6169480572631884E-2</v>
      </c>
      <c r="L5">
        <f t="shared" si="1"/>
        <v>1.6487564851283017E-4</v>
      </c>
    </row>
    <row r="6" spans="2:12" x14ac:dyDescent="0.25">
      <c r="B6">
        <v>4</v>
      </c>
      <c r="C6">
        <v>1.25</v>
      </c>
      <c r="D6">
        <v>1.1599999999999999</v>
      </c>
      <c r="E6">
        <f>LOG(Table134[[#This Row],[x]])</f>
        <v>9.691001300805642E-2</v>
      </c>
      <c r="F6">
        <f>Table134[[#This Row],[log(x)]]^2</f>
        <v>9.3915506212216646E-3</v>
      </c>
      <c r="G6">
        <f>LOG(Table134[[#This Row],[y]])</f>
        <v>6.445798922691845E-2</v>
      </c>
      <c r="H6">
        <f>Table134[[#This Row],[log(x)]]*Table134[[#This Row],[log(y)]]</f>
        <v>6.2466245744538275E-3</v>
      </c>
      <c r="I6">
        <f>$F$24+$F$25*Table134[[#This Row],[log(x)]]</f>
        <v>8.610505056023593E-2</v>
      </c>
      <c r="J6">
        <f t="shared" si="0"/>
        <v>-2.164706133331748E-2</v>
      </c>
      <c r="K6">
        <f t="shared" si="2"/>
        <v>1.0738099725086032E-2</v>
      </c>
      <c r="L6">
        <f t="shared" si="1"/>
        <v>4.6859526436840876E-4</v>
      </c>
    </row>
    <row r="7" spans="2:12" x14ac:dyDescent="0.25">
      <c r="B7">
        <v>5</v>
      </c>
      <c r="C7">
        <v>1.29</v>
      </c>
      <c r="D7">
        <v>1.25</v>
      </c>
      <c r="E7">
        <f>LOG(Table134[[#This Row],[x]])</f>
        <v>0.11058971029924898</v>
      </c>
      <c r="F7">
        <f>Table134[[#This Row],[log(x)]]^2</f>
        <v>1.2230084024071816E-2</v>
      </c>
      <c r="G7">
        <f>LOG(Table134[[#This Row],[y]])</f>
        <v>9.691001300805642E-2</v>
      </c>
      <c r="H7">
        <f>Table134[[#This Row],[log(x)]]*Table134[[#This Row],[log(y)]]</f>
        <v>1.0717250263657409E-2</v>
      </c>
      <c r="I7">
        <f>$F$24+$F$25*Table134[[#This Row],[log(x)]]</f>
        <v>0.12280710451560339</v>
      </c>
      <c r="J7">
        <f t="shared" si="0"/>
        <v>-2.5897091507546974E-2</v>
      </c>
      <c r="K7">
        <f t="shared" si="2"/>
        <v>5.0655644524891536E-3</v>
      </c>
      <c r="L7">
        <f t="shared" si="1"/>
        <v>6.7065934855026156E-4</v>
      </c>
    </row>
    <row r="8" spans="2:12" x14ac:dyDescent="0.25">
      <c r="B8">
        <v>6</v>
      </c>
      <c r="C8">
        <v>1.41</v>
      </c>
      <c r="D8">
        <v>1.65</v>
      </c>
      <c r="E8">
        <f>LOG(Table134[[#This Row],[x]])</f>
        <v>0.14921911265537988</v>
      </c>
      <c r="F8">
        <f>Table134[[#This Row],[log(x)]]^2</f>
        <v>2.2266343581658951E-2</v>
      </c>
      <c r="G8">
        <f>LOG(Table134[[#This Row],[y]])</f>
        <v>0.21748394421390627</v>
      </c>
      <c r="H8">
        <f>Table134[[#This Row],[log(x)]]*Table134[[#This Row],[log(y)]]</f>
        <v>3.245276117239123E-2</v>
      </c>
      <c r="I8">
        <f>$F$24+$F$25*Table134[[#This Row],[log(x)]]</f>
        <v>0.226448170495267</v>
      </c>
      <c r="J8">
        <f t="shared" si="0"/>
        <v>-8.9642262813607321E-3</v>
      </c>
      <c r="K8">
        <f t="shared" si="2"/>
        <v>2.4404738518244038E-3</v>
      </c>
      <c r="L8">
        <f t="shared" si="1"/>
        <v>8.0357352823438464E-5</v>
      </c>
    </row>
    <row r="9" spans="2:12" x14ac:dyDescent="0.25">
      <c r="B9">
        <v>7</v>
      </c>
      <c r="C9">
        <v>1.48</v>
      </c>
      <c r="D9">
        <v>1.88</v>
      </c>
      <c r="E9">
        <f>LOG(Table134[[#This Row],[x]])</f>
        <v>0.17026171539495738</v>
      </c>
      <c r="F9">
        <f>Table134[[#This Row],[log(x)]]^2</f>
        <v>2.8989051729233467E-2</v>
      </c>
      <c r="G9">
        <f>LOG(Table134[[#This Row],[y]])</f>
        <v>0.27415784926367981</v>
      </c>
      <c r="H9">
        <f>Table134[[#This Row],[log(x)]]*Table134[[#This Row],[log(y)]]</f>
        <v>4.6678585704626276E-2</v>
      </c>
      <c r="I9">
        <f>$F$24+$F$25*Table134[[#This Row],[log(x)]]</f>
        <v>0.28290459088744724</v>
      </c>
      <c r="J9">
        <f t="shared" ref="J9:J12" si="3">G9-I9</f>
        <v>-8.7467416237674289E-3</v>
      </c>
      <c r="K9">
        <f t="shared" si="2"/>
        <v>1.1251917798750396E-2</v>
      </c>
      <c r="L9">
        <f t="shared" ref="L9:L12" si="4">J9^2</f>
        <v>7.6505489032945676E-5</v>
      </c>
    </row>
    <row r="10" spans="2:12" x14ac:dyDescent="0.25">
      <c r="B10">
        <v>8</v>
      </c>
      <c r="C10">
        <v>1.59</v>
      </c>
      <c r="D10">
        <v>2.33</v>
      </c>
      <c r="E10">
        <f>LOG(Table134[[#This Row],[x]])</f>
        <v>0.20139712432045151</v>
      </c>
      <c r="F10">
        <f>Table134[[#This Row],[log(x)]]^2</f>
        <v>4.0560801684547398E-2</v>
      </c>
      <c r="G10">
        <f>LOG(Table134[[#This Row],[y]])</f>
        <v>0.36735592102601899</v>
      </c>
      <c r="H10">
        <f>Table134[[#This Row],[log(x)]]*Table134[[#This Row],[log(y)]]</f>
        <v>7.3984426096731115E-2</v>
      </c>
      <c r="I10">
        <f>$F$24+$F$25*Table134[[#This Row],[log(x)]]</f>
        <v>0.36643958687318762</v>
      </c>
      <c r="J10">
        <f t="shared" si="3"/>
        <v>9.1633415283137731E-4</v>
      </c>
      <c r="K10">
        <f t="shared" si="2"/>
        <v>3.9709779999269175E-2</v>
      </c>
      <c r="L10">
        <f t="shared" si="4"/>
        <v>8.3966827964519792E-7</v>
      </c>
    </row>
    <row r="11" spans="2:12" x14ac:dyDescent="0.25">
      <c r="B11">
        <v>9</v>
      </c>
      <c r="C11">
        <v>1.72</v>
      </c>
      <c r="D11">
        <v>2.89</v>
      </c>
      <c r="E11">
        <f>LOG(Table134[[#This Row],[x]])</f>
        <v>0.2355284469075489</v>
      </c>
      <c r="F11">
        <f>Table134[[#This Row],[log(x)]]^2</f>
        <v>5.5473649302682081E-2</v>
      </c>
      <c r="G11">
        <f>LOG(Table134[[#This Row],[y]])</f>
        <v>0.46089784275654788</v>
      </c>
      <c r="H11">
        <f>Table134[[#This Row],[log(x)]]*Table134[[#This Row],[log(y)]]</f>
        <v>0.1085545530874894</v>
      </c>
      <c r="I11">
        <f>$F$24+$F$25*Table134[[#This Row],[log(x)]]</f>
        <v>0.45801249353145285</v>
      </c>
      <c r="J11">
        <f t="shared" si="3"/>
        <v>2.8853492250950352E-3</v>
      </c>
      <c r="K11">
        <f t="shared" si="2"/>
        <v>8.5740654019281645E-2</v>
      </c>
      <c r="L11">
        <f t="shared" si="4"/>
        <v>8.3252401507565204E-6</v>
      </c>
    </row>
    <row r="12" spans="2:12" x14ac:dyDescent="0.25">
      <c r="B12">
        <v>10</v>
      </c>
      <c r="C12">
        <v>1.79</v>
      </c>
      <c r="D12">
        <v>3.29</v>
      </c>
      <c r="E12">
        <f>LOG(Table134[[#This Row],[x]])</f>
        <v>0.2528530309798932</v>
      </c>
      <c r="F12">
        <f>Table134[[#This Row],[log(x)]]^2</f>
        <v>6.393465527571883E-2</v>
      </c>
      <c r="G12">
        <f>LOG(Table134[[#This Row],[y]])</f>
        <v>0.51719589794997434</v>
      </c>
      <c r="H12">
        <f>Table134[[#This Row],[log(x)]]*Table134[[#This Row],[log(y)]]</f>
        <v>0.13077455040701855</v>
      </c>
      <c r="I12">
        <f>$F$24+$F$25*Table134[[#This Row],[log(x)]]</f>
        <v>0.50449362581402601</v>
      </c>
      <c r="J12">
        <f t="shared" si="3"/>
        <v>1.2702272135948323E-2</v>
      </c>
      <c r="K12">
        <f t="shared" si="2"/>
        <v>0.12187996082916502</v>
      </c>
      <c r="L12">
        <f t="shared" si="4"/>
        <v>1.6134771741568916E-4</v>
      </c>
    </row>
    <row r="13" spans="2:12" x14ac:dyDescent="0.25">
      <c r="B13">
        <v>11</v>
      </c>
      <c r="C13">
        <v>1.82</v>
      </c>
      <c r="D13">
        <v>3.48</v>
      </c>
      <c r="E13">
        <f>LOG(Table134[[#This Row],[x]])</f>
        <v>0.26007138798507479</v>
      </c>
      <c r="F13">
        <f>Table134[[#This Row],[log(x)]]^2</f>
        <v>6.7637126848483303E-2</v>
      </c>
      <c r="G13">
        <f>LOG(Table134[[#This Row],[y]])</f>
        <v>0.54157924394658097</v>
      </c>
      <c r="H13">
        <f>Table134[[#This Row],[log(x)]]*Table134[[#This Row],[log(y)]]</f>
        <v>0.14084926567709471</v>
      </c>
      <c r="I13">
        <f>$F$24+$F$25*Table134[[#This Row],[log(x)]]</f>
        <v>0.52386017484167513</v>
      </c>
      <c r="J13">
        <f>G13-I13</f>
        <v>1.7719069104905838E-2</v>
      </c>
      <c r="K13">
        <f t="shared" si="2"/>
        <v>0.13949959970561759</v>
      </c>
      <c r="L13">
        <f>J13^2</f>
        <v>3.1396540994442859E-4</v>
      </c>
    </row>
    <row r="14" spans="2:12" x14ac:dyDescent="0.25">
      <c r="B14">
        <v>12</v>
      </c>
      <c r="C14">
        <v>1.91</v>
      </c>
      <c r="D14">
        <v>3.98</v>
      </c>
      <c r="E14">
        <f>LOG(Table134[[#This Row],[x]])</f>
        <v>0.28103336724772754</v>
      </c>
      <c r="F14">
        <f>Table134[[#This Row],[log(x)]]^2</f>
        <v>7.8979753506596098E-2</v>
      </c>
      <c r="G14">
        <f>LOG(Table134[[#This Row],[y]])</f>
        <v>0.59988307207368785</v>
      </c>
      <c r="H14">
        <f>Table134[[#This Row],[log(x)]]*Table134[[#This Row],[log(y)]]</f>
        <v>0.16858715969977972</v>
      </c>
      <c r="I14">
        <f>$F$24+$F$25*Table134[[#This Row],[log(x)]]</f>
        <v>0.58010028582750128</v>
      </c>
      <c r="J14">
        <f>G14-I14</f>
        <v>1.9782786246186568E-2</v>
      </c>
      <c r="K14">
        <f t="shared" si="2"/>
        <v>0.18645148197453085</v>
      </c>
      <c r="L14">
        <f>J14^2</f>
        <v>3.9135863166230841E-4</v>
      </c>
    </row>
    <row r="15" spans="2:12" x14ac:dyDescent="0.25">
      <c r="B15">
        <f>SUBTOTAL(103,Table134[i])</f>
        <v>12</v>
      </c>
      <c r="C15">
        <f>SUBTOTAL(109,Table134[x])</f>
        <v>16.830000000000002</v>
      </c>
      <c r="D15">
        <f>SUBTOTAL(109,Table134[y])</f>
        <v>23.34</v>
      </c>
      <c r="E15">
        <f>SUBTOTAL(109,Table134[log(x)])</f>
        <v>1.5295799688406966</v>
      </c>
      <c r="F15">
        <f>SUBTOTAL(109,Table134[log(x)^2])</f>
        <v>0.42030952313523534</v>
      </c>
      <c r="G15">
        <f>SUBTOTAL(109,Table134[log(y)])</f>
        <v>2.0169935025713448</v>
      </c>
      <c r="H15">
        <f>SUBTOTAL(109,Table134[log(x)*log(y)])</f>
        <v>0.86167817500705324</v>
      </c>
      <c r="K15">
        <f>SUBTOTAL(109,Table134[st])</f>
        <v>1.6259988721123104</v>
      </c>
      <c r="L15">
        <f>SUBTOTAL(109,Table134[sr])</f>
        <v>3.9304514054348694E-3</v>
      </c>
    </row>
    <row r="18" spans="2:10" x14ac:dyDescent="0.25">
      <c r="B18" s="29" t="s">
        <v>35</v>
      </c>
      <c r="C18" s="29"/>
      <c r="D18" t="s">
        <v>36</v>
      </c>
      <c r="E18" t="s">
        <v>37</v>
      </c>
    </row>
    <row r="19" spans="2:10" x14ac:dyDescent="0.25">
      <c r="B19" s="18">
        <f>Table134[[#Totals],[i]]</f>
        <v>12</v>
      </c>
      <c r="C19" s="18">
        <f>Table134[[#Totals],[log(x)]]</f>
        <v>1.5295799688406966</v>
      </c>
      <c r="E19" s="18">
        <f>Table134[[#Totals],[log(y)]]</f>
        <v>2.0169935025713448</v>
      </c>
      <c r="H19" s="22" t="s">
        <v>38</v>
      </c>
      <c r="I19" s="18">
        <f>Table134[[#Totals],[log(y)]]/Table134[[#Totals],[i]]</f>
        <v>0.16808279188094541</v>
      </c>
    </row>
    <row r="20" spans="2:10" x14ac:dyDescent="0.25">
      <c r="B20" s="18">
        <f>Table134[[#Totals],[log(x)]]</f>
        <v>1.5295799688406966</v>
      </c>
      <c r="C20" s="18">
        <f>Table134[[#Totals],[log(x)^2]]</f>
        <v>0.42030952313523534</v>
      </c>
      <c r="E20" s="18">
        <f>Table134[[#Totals],[log(x)*log(y)]]</f>
        <v>0.86167817500705324</v>
      </c>
    </row>
    <row r="21" spans="2:10" x14ac:dyDescent="0.25">
      <c r="H21" s="22" t="s">
        <v>39</v>
      </c>
      <c r="I21" s="18">
        <f>Table134[[#Totals],[st]]</f>
        <v>1.6259988721123104</v>
      </c>
    </row>
    <row r="22" spans="2:10" x14ac:dyDescent="0.25">
      <c r="H22" s="22" t="s">
        <v>40</v>
      </c>
      <c r="I22" s="18">
        <f>Table134[[#Totals],[sr]]</f>
        <v>3.9304514054348694E-3</v>
      </c>
    </row>
    <row r="23" spans="2:10" x14ac:dyDescent="0.25">
      <c r="B23" s="29" t="s">
        <v>41</v>
      </c>
      <c r="C23" s="29"/>
      <c r="E23" s="30" t="s">
        <v>42</v>
      </c>
      <c r="F23" s="30"/>
    </row>
    <row r="24" spans="2:10" x14ac:dyDescent="0.25">
      <c r="B24" s="18" cm="1">
        <f t="array" ref="B24:C25">MINVERSE(B19:C20)</f>
        <v>0.1554341987844077</v>
      </c>
      <c r="C24" s="18">
        <v>-0.565652272544243</v>
      </c>
      <c r="E24" s="18" t="s">
        <v>43</v>
      </c>
      <c r="F24" s="18" cm="1">
        <f t="array" ref="F24:F25">MMULT(_xlfn.ANCHORARRAY(B24),E19:E20)</f>
        <v>-0.17390044886898243</v>
      </c>
      <c r="H24" s="22" t="s">
        <v>44</v>
      </c>
      <c r="I24" s="18">
        <f>SQRT((I21-I22)/I21)</f>
        <v>0.99879064199480405</v>
      </c>
    </row>
    <row r="25" spans="2:10" x14ac:dyDescent="0.25">
      <c r="B25" s="18">
        <v>-0.565652272544243</v>
      </c>
      <c r="C25" s="18">
        <v>4.437706696483195</v>
      </c>
      <c r="E25" s="18" t="s">
        <v>45</v>
      </c>
      <c r="F25" s="18">
        <v>2.682958049005765</v>
      </c>
    </row>
    <row r="26" spans="2:10" x14ac:dyDescent="0.25">
      <c r="H26" s="23" t="s">
        <v>69</v>
      </c>
      <c r="I26" t="s">
        <v>46</v>
      </c>
      <c r="J26">
        <f>EXP(F24)</f>
        <v>0.84038055432897285</v>
      </c>
    </row>
    <row r="27" spans="2:10" x14ac:dyDescent="0.25">
      <c r="H27" s="24" t="s">
        <v>70</v>
      </c>
      <c r="I27" s="25" t="s">
        <v>47</v>
      </c>
    </row>
    <row r="28" spans="2:10" x14ac:dyDescent="0.25">
      <c r="C28" s="31" t="s">
        <v>48</v>
      </c>
      <c r="D28" s="31"/>
      <c r="E28" s="31"/>
      <c r="F28" s="31"/>
      <c r="G28" s="31"/>
      <c r="H28" s="15" t="s">
        <v>71</v>
      </c>
      <c r="I28" s="15" t="str">
        <f>ROUND(J26,3)&amp;"V"&amp;"^"&amp;ROUND(F25,3)</f>
        <v>0,84V^2,683</v>
      </c>
    </row>
    <row r="30" spans="2:10" x14ac:dyDescent="0.25">
      <c r="C30" s="31" t="s">
        <v>49</v>
      </c>
      <c r="D30" s="31"/>
      <c r="E30" s="31"/>
      <c r="F30" s="31"/>
      <c r="G30" s="31"/>
      <c r="H30" s="15" t="s">
        <v>50</v>
      </c>
      <c r="I30" s="15">
        <v>0.99879064199480405</v>
      </c>
    </row>
    <row r="31" spans="2:10" x14ac:dyDescent="0.25">
      <c r="C31" s="32" t="s">
        <v>51</v>
      </c>
      <c r="D31" s="32"/>
      <c r="E31" s="32"/>
      <c r="F31" s="32"/>
      <c r="G31" s="32"/>
      <c r="H31" s="32"/>
      <c r="I31" s="32"/>
    </row>
  </sheetData>
  <mergeCells count="6">
    <mergeCell ref="C31:I31"/>
    <mergeCell ref="B18:C18"/>
    <mergeCell ref="B23:C23"/>
    <mergeCell ref="E23:F23"/>
    <mergeCell ref="C28:G28"/>
    <mergeCell ref="C30:G30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54EC-C8AA-4506-BBDD-6F200727F645}">
  <dimension ref="A2:T21"/>
  <sheetViews>
    <sheetView showGridLines="0" zoomScale="130" zoomScaleNormal="130" workbookViewId="0">
      <selection activeCell="O17" sqref="O17"/>
    </sheetView>
  </sheetViews>
  <sheetFormatPr defaultRowHeight="15" x14ac:dyDescent="0.25"/>
  <cols>
    <col min="7" max="7" width="14.42578125" customWidth="1"/>
  </cols>
  <sheetData>
    <row r="2" spans="1:20" ht="15.75" customHeight="1" x14ac:dyDescent="0.25">
      <c r="Q2" s="33"/>
      <c r="R2" s="33"/>
      <c r="S2" s="33"/>
      <c r="T2" s="33"/>
    </row>
    <row r="3" spans="1:20" x14ac:dyDescent="0.25">
      <c r="Q3" s="33"/>
      <c r="R3" s="33"/>
      <c r="S3" s="33"/>
      <c r="T3" s="33"/>
    </row>
    <row r="4" spans="1:20" ht="15.75" x14ac:dyDescent="0.25">
      <c r="A4" s="52" t="s">
        <v>75</v>
      </c>
      <c r="Q4" s="33"/>
      <c r="R4" s="33"/>
      <c r="S4" s="33"/>
      <c r="T4" s="33"/>
    </row>
    <row r="5" spans="1:20" x14ac:dyDescent="0.25">
      <c r="A5" t="s">
        <v>76</v>
      </c>
    </row>
    <row r="6" spans="1:20" ht="15.75" x14ac:dyDescent="0.25">
      <c r="A6" s="26" t="s">
        <v>77</v>
      </c>
    </row>
    <row r="7" spans="1:20" x14ac:dyDescent="0.25">
      <c r="A7" t="s">
        <v>78</v>
      </c>
    </row>
    <row r="10" spans="1:20" x14ac:dyDescent="0.25">
      <c r="B10" t="s">
        <v>52</v>
      </c>
      <c r="C10" t="s">
        <v>2</v>
      </c>
      <c r="D10" t="s">
        <v>10</v>
      </c>
      <c r="E10" t="s">
        <v>53</v>
      </c>
      <c r="F10" t="s">
        <v>54</v>
      </c>
      <c r="G10" t="s">
        <v>55</v>
      </c>
      <c r="H10" t="s">
        <v>56</v>
      </c>
      <c r="I10" t="s">
        <v>3</v>
      </c>
      <c r="J10" t="s">
        <v>11</v>
      </c>
      <c r="K10" t="s">
        <v>57</v>
      </c>
      <c r="L10" t="s">
        <v>58</v>
      </c>
      <c r="M10" t="s">
        <v>59</v>
      </c>
    </row>
    <row r="11" spans="1:20" x14ac:dyDescent="0.25">
      <c r="B11">
        <v>0</v>
      </c>
      <c r="C11">
        <v>1.5</v>
      </c>
      <c r="D11">
        <f>(-0.3*(Table16[[#This Row],[xl]])^4)+(1.2*(Table16[[#This Row],[xl]])^3)-(1.8*(Table16[[#This Row],[xl]])^2)+4*Table16[[#This Row],[xl]]</f>
        <v>4.4812500000000002</v>
      </c>
      <c r="E11">
        <f>Table16[[#This Row],[xl]]+Table16[[#This Row],[d]]</f>
        <v>2.4270509831248424</v>
      </c>
      <c r="F11">
        <f>(-0.3*(Table16[[#This Row],[x1]])^4)+(1.2*(Table16[[#This Row],[x1]])^3)-(1.8*(Table16[[#This Row],[x1]])^2)+4*Table16[[#This Row],[x1]]</f>
        <v>5.8515742256947334</v>
      </c>
      <c r="G11">
        <f>Table16[[#This Row],[xu]]-Table16[[#This Row],[d]]</f>
        <v>2.0729490168751576</v>
      </c>
      <c r="H11">
        <f>(-0.3*(Table16[[#This Row],[x2]])^4)+(1.2*(Table16[[#This Row],[x2]])^3)-(1.8*(Table16[[#This Row],[x2]])^2)+4*Table16[[#This Row],[x2]]</f>
        <v>5.7066652819872274</v>
      </c>
      <c r="I11">
        <v>3</v>
      </c>
      <c r="J11">
        <f>(-0.3*(Table16[[#This Row],[xu]])^4)+(1.2*(Table16[[#This Row],[xu]])^3)-(1.8*(Table16[[#This Row],[xu]])^2)+4*Table16[[#This Row],[xu]]</f>
        <v>3.8999999999999986</v>
      </c>
      <c r="K11">
        <f>((SQRT(5)-1)/2)*(Table16[[#This Row],[xu]]-Table16[[#This Row],[xl]])</f>
        <v>0.92705098312484235</v>
      </c>
      <c r="L11">
        <f>1-((SQRT(5)-1)/2)</f>
        <v>0.3819660112501051</v>
      </c>
      <c r="M11">
        <f>Table16[[#This Row],[1-R]]*((Table16[[#This Row],[xu]]-Table16[[#This Row],[xl]])/((Table16[[#This Row],[x1]]+Table16[[#This Row],[x2]])/2)*100)</f>
        <v>25.464400750007002</v>
      </c>
    </row>
    <row r="12" spans="1:20" x14ac:dyDescent="0.25">
      <c r="B12">
        <v>1</v>
      </c>
      <c r="C12">
        <v>2.0729490168751576</v>
      </c>
      <c r="D12">
        <f>(-0.3*(Table16[[#This Row],[xl]])^4)+(1.2*(Table16[[#This Row],[xl]])^3)-(1.8*(Table16[[#This Row],[xl]])^2)+4*Table16[[#This Row],[xl]]</f>
        <v>5.7066652819872274</v>
      </c>
      <c r="E12">
        <f>Table16[[#This Row],[xl]]+Table16[[#This Row],[d]]</f>
        <v>2.6458980337503153</v>
      </c>
      <c r="F12">
        <f>(-0.3*(Table16[[#This Row],[x1]])^4)+(1.2*(Table16[[#This Row],[x1]])^3)-(1.8*(Table16[[#This Row],[x1]])^2)+4*Table16[[#This Row],[x1]]</f>
        <v>5.5069421538072731</v>
      </c>
      <c r="G12">
        <f>Table16[[#This Row],[xu]]-Table16[[#This Row],[d]]</f>
        <v>2.4270509831248424</v>
      </c>
      <c r="H12">
        <f>(-0.3*(Table16[[#This Row],[x2]])^4)+(1.2*(Table16[[#This Row],[x2]])^3)-(1.8*(Table16[[#This Row],[x2]])^2)+4*Table16[[#This Row],[x2]]</f>
        <v>5.8515742256947334</v>
      </c>
      <c r="I12">
        <v>3</v>
      </c>
      <c r="J12">
        <f>(-0.3*(Table16[[#This Row],[xu]])^4)+(1.2*(Table16[[#This Row],[xu]])^3)-(1.8*(Table16[[#This Row],[xu]])^2)+4*Table16[[#This Row],[xu]]</f>
        <v>3.8999999999999986</v>
      </c>
      <c r="K12">
        <f>((SQRT(5)-1)/2)*(Table16[[#This Row],[xu]]-Table16[[#This Row],[xl]])</f>
        <v>0.57294901687515787</v>
      </c>
      <c r="L12">
        <f t="shared" ref="L12:L15" si="0">1-((SQRT(5)-1)/2)</f>
        <v>0.3819660112501051</v>
      </c>
      <c r="M12">
        <f>Table16[[#This Row],[1-R]]*((Table16[[#This Row],[xu]]-Table16[[#This Row],[xl]])/((Table16[[#This Row],[x1]]+Table16[[#This Row],[x2]])/2)*100)</f>
        <v>13.960399171044882</v>
      </c>
    </row>
    <row r="13" spans="1:20" x14ac:dyDescent="0.25">
      <c r="B13">
        <v>2</v>
      </c>
      <c r="C13">
        <v>2.0729490168751576</v>
      </c>
      <c r="D13">
        <f>(-0.3*(Table16[[#This Row],[xl]])^4)+(1.2*(Table16[[#This Row],[xl]])^3)-(1.8*(Table16[[#This Row],[xl]])^2)+4*Table16[[#This Row],[xl]]</f>
        <v>5.7066652819872274</v>
      </c>
      <c r="E13">
        <f>Table16[[#This Row],[xl]]+Table16[[#This Row],[d]]</f>
        <v>2.4270509831248424</v>
      </c>
      <c r="F13">
        <f>(-0.3*(Table16[[#This Row],[x1]])^4)+(1.2*(Table16[[#This Row],[x1]])^3)-(1.8*(Table16[[#This Row],[x1]])^2)+4*Table16[[#This Row],[x1]]</f>
        <v>5.8515742256947334</v>
      </c>
      <c r="G13">
        <f>Table16[[#This Row],[xu]]-Table16[[#This Row],[d]]</f>
        <v>2.2917960675006306</v>
      </c>
      <c r="H13">
        <f>(-0.3*(Table16[[#This Row],[x2]])^4)+(1.2*(Table16[[#This Row],[x2]])^3)-(1.8*(Table16[[#This Row],[x2]])^2)+4*Table16[[#This Row],[x2]]</f>
        <v>5.8816239563415813</v>
      </c>
      <c r="I13">
        <v>2.6458980337503153</v>
      </c>
      <c r="J13">
        <f>(-0.3*(Table16[[#This Row],[xu]])^4)+(1.2*(Table16[[#This Row],[xu]])^3)-(1.8*(Table16[[#This Row],[xu]])^2)+4*Table16[[#This Row],[xu]]</f>
        <v>5.5069421538072731</v>
      </c>
      <c r="K13">
        <f>((SQRT(5)-1)/2)*(Table16[[#This Row],[xu]]-Table16[[#This Row],[xl]])</f>
        <v>0.35410196624968454</v>
      </c>
      <c r="L13">
        <f t="shared" si="0"/>
        <v>0.3819660112501051</v>
      </c>
      <c r="M13">
        <f>Table16[[#This Row],[1-R]]*((Table16[[#This Row],[xu]]-Table16[[#This Row],[xl]])/((Table16[[#This Row],[x1]]+Table16[[#This Row],[x2]])/2)*100)</f>
        <v>9.275445814522234</v>
      </c>
    </row>
    <row r="14" spans="1:20" x14ac:dyDescent="0.25">
      <c r="B14">
        <v>3</v>
      </c>
      <c r="C14">
        <v>2.0729490168751576</v>
      </c>
      <c r="D14">
        <f>(-0.3*(Table16[[#This Row],[xl]])^4)+(1.2*(Table16[[#This Row],[xl]])^3)-(1.8*(Table16[[#This Row],[xl]])^2)+4*Table16[[#This Row],[xl]]</f>
        <v>5.7066652819872274</v>
      </c>
      <c r="E14">
        <f>Table16[[#This Row],[xl]]+Table16[[#This Row],[d]]</f>
        <v>2.291796067500631</v>
      </c>
      <c r="F14">
        <f>(-0.3*(Table16[[#This Row],[x1]])^4)+(1.2*(Table16[[#This Row],[x1]])^3)-(1.8*(Table16[[#This Row],[x1]])^2)+4*Table16[[#This Row],[x1]]</f>
        <v>5.8816239563415831</v>
      </c>
      <c r="G14">
        <f>Table16[[#This Row],[xu]]-Table16[[#This Row],[d]]</f>
        <v>2.208203932499369</v>
      </c>
      <c r="H14">
        <f>(-0.3*(Table16[[#This Row],[x2]])^4)+(1.2*(Table16[[#This Row],[x2]])^3)-(1.8*(Table16[[#This Row],[x2]])^2)+4*Table16[[#This Row],[x2]]</f>
        <v>5.8437040868098888</v>
      </c>
      <c r="I14">
        <v>2.4270509831248424</v>
      </c>
      <c r="J14">
        <f>(-0.3*(Table16[[#This Row],[xu]])^4)+(1.2*(Table16[[#This Row],[xu]])^3)-(1.8*(Table16[[#This Row],[xu]])^2)+4*Table16[[#This Row],[xu]]</f>
        <v>5.8515742256947334</v>
      </c>
      <c r="K14">
        <f>((SQRT(5)-1)/2)*(Table16[[#This Row],[xu]]-Table16[[#This Row],[xl]])</f>
        <v>0.2188470506254733</v>
      </c>
      <c r="L14">
        <f t="shared" si="0"/>
        <v>0.3819660112501051</v>
      </c>
      <c r="M14">
        <f>Table16[[#This Row],[1-R]]*((Table16[[#This Row],[xu]]-Table16[[#This Row],[xl]])/((Table16[[#This Row],[x1]]+Table16[[#This Row],[x2]])/2)*100)</f>
        <v>6.0113295832982843</v>
      </c>
    </row>
    <row r="15" spans="1:20" x14ac:dyDescent="0.25">
      <c r="B15" s="54">
        <v>4</v>
      </c>
      <c r="C15" s="54">
        <v>2.208203932499369</v>
      </c>
      <c r="D15" s="54">
        <f>(-0.3*(Table16[[#This Row],[xl]])^4)+(1.2*(Table16[[#This Row],[xl]])^3)-(1.8*(Table16[[#This Row],[xl]])^2)+4*Table16[[#This Row],[xl]]</f>
        <v>5.8437040868098888</v>
      </c>
      <c r="E15" s="54">
        <f>Table16[[#This Row],[xl]]+Table16[[#This Row],[d]]</f>
        <v>2.3434588481235803</v>
      </c>
      <c r="F15" s="54">
        <f>(-0.3*(Table16[[#This Row],[x1]])^4)+(1.2*(Table16[[#This Row],[x1]])^3)-(1.8*(Table16[[#This Row],[x1]])^2)+4*Table16[[#This Row],[x1]]</f>
        <v>5.8844054147864302</v>
      </c>
      <c r="G15" s="54">
        <f>Table16[[#This Row],[xu]]-Table16[[#This Row],[d]]</f>
        <v>2.291796067500631</v>
      </c>
      <c r="H15" s="54">
        <f>(-0.3*(Table16[[#This Row],[x2]])^4)+(1.2*(Table16[[#This Row],[x2]])^3)-(1.8*(Table16[[#This Row],[x2]])^2)+4*Table16[[#This Row],[x2]]</f>
        <v>5.8816239563415831</v>
      </c>
      <c r="I15" s="54">
        <v>2.4270509831248424</v>
      </c>
      <c r="J15" s="54">
        <f>(-0.3*(Table16[[#This Row],[xu]])^4)+(1.2*(Table16[[#This Row],[xu]])^3)-(1.8*(Table16[[#This Row],[xu]])^2)+4*Table16[[#This Row],[xu]]</f>
        <v>5.8515742256947334</v>
      </c>
      <c r="K15" s="54">
        <f>((SQRT(5)-1)/2)*(Table16[[#This Row],[xu]]-Table16[[#This Row],[xl]])</f>
        <v>0.13525491562421149</v>
      </c>
      <c r="L15" s="54">
        <f t="shared" si="0"/>
        <v>0.3819660112501051</v>
      </c>
      <c r="M15" s="54">
        <f>Table16[[#This Row],[1-R]]*((Table16[[#This Row],[xu]]-Table16[[#This Row],[xl]])/((Table16[[#This Row],[x1]]+Table16[[#This Row],[x2]])/2)*100)</f>
        <v>3.606797749978973</v>
      </c>
    </row>
    <row r="16" spans="1:20" x14ac:dyDescent="0.25">
      <c r="B16" s="15">
        <v>5</v>
      </c>
      <c r="C16" s="15">
        <v>2.291796067500631</v>
      </c>
      <c r="D16" s="53">
        <f>(-0.3*(Table16[[#This Row],[xl]])^4)+(1.2*(Table16[[#This Row],[xl]])^3)-(1.8*(Table16[[#This Row],[xl]])^2)+4*Table16[[#This Row],[xl]]</f>
        <v>5.8816239563415831</v>
      </c>
      <c r="E16" s="53">
        <f>Table16[[#This Row],[xl]]+Table16[[#This Row],[d]]</f>
        <v>2.3753882025018926</v>
      </c>
      <c r="F16" s="53">
        <f>(-0.3*(Table16[[#This Row],[x1]])^4)+(1.2*(Table16[[#This Row],[x1]])^3)-(1.8*(Table16[[#This Row],[x1]])^2)+4*Table16[[#This Row],[x1]]</f>
        <v>5.8775365770303178</v>
      </c>
      <c r="G16" s="53">
        <f>Table16[[#This Row],[xu]]-Table16[[#This Row],[d]]</f>
        <v>2.3434588481235807</v>
      </c>
      <c r="H16" s="53">
        <f>(-0.3*(Table16[[#This Row],[x2]])^4)+(1.2*(Table16[[#This Row],[x2]])^3)-(1.8*(Table16[[#This Row],[x2]])^2)+4*Table16[[#This Row],[x2]]</f>
        <v>5.8844054147864302</v>
      </c>
      <c r="I16" s="15">
        <v>2.4270509831248424</v>
      </c>
      <c r="J16" s="53">
        <f>(-0.3*(Table16[[#This Row],[xu]])^4)+(1.2*(Table16[[#This Row],[xu]])^3)-(1.8*(Table16[[#This Row],[xu]])^2)+4*Table16[[#This Row],[xu]]</f>
        <v>5.8515742256947334</v>
      </c>
      <c r="K16" s="53">
        <f>((SQRT(5)-1)/2)*(Table16[[#This Row],[xu]]-Table16[[#This Row],[xl]])</f>
        <v>8.3592135001261808E-2</v>
      </c>
      <c r="L16" s="53">
        <f>1-((SQRT(5)-1)/2)</f>
        <v>0.3819660112501051</v>
      </c>
      <c r="M16" s="53">
        <f>Table16[[#This Row],[1-R]]*((Table16[[#This Row],[xu]]-Table16[[#This Row],[xl]])/((Table16[[#This Row],[x1]]+Table16[[#This Row],[x2]])/2)*100)</f>
        <v>2.189635733843152</v>
      </c>
    </row>
    <row r="19" spans="8:8" x14ac:dyDescent="0.25">
      <c r="H19" s="54"/>
    </row>
    <row r="20" spans="8:8" x14ac:dyDescent="0.25">
      <c r="H20" s="54"/>
    </row>
    <row r="21" spans="8:8" x14ac:dyDescent="0.25">
      <c r="H21" s="54"/>
    </row>
  </sheetData>
  <mergeCells count="1">
    <mergeCell ref="Q2:T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Soal no 1a</vt:lpstr>
      <vt:lpstr>Soal no 1b</vt:lpstr>
      <vt:lpstr>Soal 2a</vt:lpstr>
      <vt:lpstr>Soal 2b</vt:lpstr>
      <vt:lpstr>Soal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2024-10-26T01:17:23Z</dcterms:created>
  <dcterms:modified xsi:type="dcterms:W3CDTF">2025-01-18T03:06:32Z</dcterms:modified>
</cp:coreProperties>
</file>