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lad1" sheetId="1" r:id="rId3"/>
    <sheet state="visible" name="Blad2" sheetId="2" r:id="rId4"/>
  </sheets>
  <definedNames/>
  <calcPr/>
</workbook>
</file>

<file path=xl/sharedStrings.xml><?xml version="1.0" encoding="utf-8"?>
<sst xmlns="http://schemas.openxmlformats.org/spreadsheetml/2006/main" count="3499" uniqueCount="2384">
  <si>
    <t>Count</t>
  </si>
  <si>
    <t>Article</t>
  </si>
  <si>
    <t>DOI</t>
  </si>
  <si>
    <t>Type of study</t>
  </si>
  <si>
    <t>Full Text 
available 
(to us)</t>
  </si>
  <si>
    <t>First author</t>
  </si>
  <si>
    <t>Year</t>
  </si>
  <si>
    <t>Study</t>
  </si>
  <si>
    <t>Hypothesis</t>
  </si>
  <si>
    <t>Factual statement</t>
  </si>
  <si>
    <t>Results</t>
  </si>
  <si>
    <t>focal_test</t>
  </si>
  <si>
    <t>pval_reported</t>
  </si>
  <si>
    <t>Sobel test</t>
  </si>
  <si>
    <t>Reported
Effect size</t>
  </si>
  <si>
    <t>CI intervals</t>
  </si>
  <si>
    <t>Assigned_focal_test</t>
  </si>
  <si>
    <t>pval</t>
  </si>
  <si>
    <t>zval</t>
  </si>
  <si>
    <t>Calculated 
Normal distribution</t>
  </si>
  <si>
    <t>Comments</t>
  </si>
  <si>
    <t>https://doi.org/10.1037/0021-9010.86.6.1106</t>
  </si>
  <si>
    <t>CFA</t>
  </si>
  <si>
    <t>Color codings:</t>
  </si>
  <si>
    <t>https://doi.org/10.1037/0021-9010.90.3.574</t>
  </si>
  <si>
    <t xml:space="preserve">Rickard check this out! </t>
  </si>
  <si>
    <t>Ahearne</t>
  </si>
  <si>
    <t xml:space="preserve">Can't use the numbers </t>
  </si>
  <si>
    <t>The prime hypothesis</t>
  </si>
  <si>
    <t xml:space="preserve">Usable stats! </t>
  </si>
  <si>
    <t>https://doi.org/10.1037/a0014391</t>
  </si>
  <si>
    <t>Model testing</t>
  </si>
  <si>
    <t>Yes</t>
  </si>
  <si>
    <t>Grant</t>
  </si>
  <si>
    <t>https://doi.org/10.1037/0021-9010.92.5.1427</t>
  </si>
  <si>
    <r>
      <t>Hypothesis 1: Manager trustworthiness is</t>
    </r>
    <r>
      <rPr>
        <b/>
      </rPr>
      <t xml:space="preserve"> positively associated
</t>
    </r>
    <r>
      <t xml:space="preserve"> with employees’perceptions of task significance.</t>
    </r>
  </si>
  <si>
    <t>https://doi.org/10.1037/a0024890</t>
  </si>
  <si>
    <t>Balkundi</t>
  </si>
  <si>
    <t>https://doi.org/10.1037/a0015979</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</si>
  <si>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</si>
  <si>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 xml:space="preserve"> Indeed, the simple slopes for the relationship between prosocial motivation and performance
 were positive and differed significantly from 0 at high levels of manager trustworthiness 
(B = 35.63, SE = 13.50, Beta =.65), t(51) = 2.64, p = .01, but did not differ significantly from 0 
at low levels of managertrustworthiness (B = –5.62, SE = 8.12, Beta = –.10), t(51) = –.69, p = .49. 
These results indicate that in support of Hypothesis 2, manager trustworthiness strengthened 
the relationship between prosocial motivation and the performance outcome of calls made.
 Prosocial motivation was positively related to performance when manager trustworthiness 
was high but not low.</t>
  </si>
  <si>
    <t>t(51) = 2.64</t>
  </si>
  <si>
    <t>p = 0,01</t>
  </si>
  <si>
    <t>Correlational Study</t>
  </si>
  <si>
    <t>https://doi.org/10.1037/apl0000027</t>
  </si>
  <si>
    <t>Meta-analysis</t>
  </si>
  <si>
    <t>https://doi.org/10.1037/0021-9010.88.3.561</t>
  </si>
  <si>
    <t>t(51) = -.69</t>
  </si>
  <si>
    <t>Experimental</t>
  </si>
  <si>
    <t>Seifert</t>
  </si>
  <si>
    <t>p = 0,49</t>
  </si>
  <si>
    <t>No Hypothesis, just this: One objective of our study was to find more definitive evidence about the 
effectiveness of a multisource feedback workshop for changing managerial behavior. A second objective 
was to explore the proposition that a skilled, neutral facilitator can enhance the effectiveness of 
multisource feedback.</t>
  </si>
  <si>
    <t>https://doi.org/10.1037/apl0000078</t>
  </si>
  <si>
    <t>3a</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</si>
  <si>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</si>
  <si>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Similar to the pattern that we observed for manager trustworthiness, the simple 
slopes for the relationship between prosocial motivation and performance were 
positive and differed significantly from 0 at high levels of perceived task
significance (B = 28.05, SE = 11.64, Beta = .51), t(51) = 2.41, p =
.02, but did not differ significantly from 0 at low levels of perceived
task significance (B = –8.87, SE = 8.32, Beta = –.16),
t(51) = –1.07, p = .29. These results indicate that in support of
Hypothesis 3a, perceived task significance strengthened the relationship
between prosocial motivation and the performance outcome
of calls made.</t>
  </si>
  <si>
    <t>Correlational study</t>
  </si>
  <si>
    <t>t(51) = 2.41</t>
  </si>
  <si>
    <t>p = 0,02</t>
  </si>
  <si>
    <t>https://doi.org/10.1037/a0021574</t>
  </si>
  <si>
    <t>Unsure</t>
  </si>
  <si>
    <t>No</t>
  </si>
  <si>
    <t>Mueller</t>
  </si>
  <si>
    <t>t(51) = –1.07</t>
  </si>
  <si>
    <t>p= 0,29</t>
  </si>
  <si>
    <t>3b</t>
  </si>
  <si>
    <r>
      <t xml:space="preserve">Hypothesis 3b: The moderating effect of manager trustworthiness
on the relationship between prosocial motivation and
performance is </t>
    </r>
    <r>
      <rPr>
        <b/>
      </rPr>
      <t xml:space="preserve">mediated </t>
    </r>
    <r>
      <t>by perceived task significance.</t>
    </r>
  </si>
  <si>
    <r>
      <t xml:space="preserve">We used the coefficients from the prior analyses and then applied </t>
    </r>
    <r>
      <rPr>
        <b/>
      </rPr>
      <t xml:space="preserve">bootstrapping </t>
    </r>
    <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</si>
  <si>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t xml:space="preserve"> (1.33, 11.46)</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</si>
  <si>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</si>
  <si>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As in the previous study, the simple slopes for the relationship between prosocial motivation and 
performance were positive and differed significantly from 0 at high levels of manager trustworthiness 
(Beta = .48), t(97) = 3.20, p &lt; .01, but did not differ significantly from 0 at low levels of manager 
trustworthiness (Beta = –.05), t(97) = –0.41, p = .68. These results indicate that in support
of Hypothesis 2, manager trustworthiness strengthened the relationship
between prosocial motivation and the performance outcome
of dollars raised.</t>
  </si>
  <si>
    <t>t(97) = 3.20</t>
  </si>
  <si>
    <t>p &lt; 0,01</t>
  </si>
  <si>
    <r>
      <t>Hypothesis 1: Manager trustworthiness is</t>
    </r>
    <r>
      <rPr>
        <b/>
      </rPr>
      <t xml:space="preserve"> positively associated
</t>
    </r>
    <r>
      <t xml:space="preserve"> with employees’perceptions of task significance.</t>
    </r>
  </si>
  <si>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</si>
  <si>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t(97) = –0.41</t>
  </si>
  <si>
    <t>p = 0,68</t>
  </si>
  <si>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</si>
  <si>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t(51) = 0.69</t>
  </si>
  <si>
    <t xml:space="preserve">When trustworthiness and dispositional trust propensity were both low, the association between 
prosocial motivation and performance was significantly weaker than when either or both trust 
cues were high. No other slope differences were significant. These findings support Hypothesis 4, 
suggesting that dispositional trust propensity may compensate for low manager trustworthiness by
 strengthening the relationship between prosocial motivation and performance.
</t>
  </si>
  <si>
    <t>t(97) = -2.69</t>
  </si>
  <si>
    <t>p &lt; 0,05</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</si>
  <si>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</si>
  <si>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t(51) = 1.07</t>
  </si>
  <si>
    <r>
      <t>Hypothesis 1: Manager trustworthiness is</t>
    </r>
    <r>
      <rPr>
        <b/>
      </rPr>
      <t xml:space="preserve"> positively associated
</t>
    </r>
    <r>
      <t xml:space="preserve"> with employees’perceptions of task significance.</t>
    </r>
  </si>
  <si>
    <r>
      <t xml:space="preserve">Hypothesis 3b: The moderating effect of manager trustworthiness
on the relationship between prosocial motivation and
performance is </t>
    </r>
    <r>
      <rPr>
        <b/>
      </rPr>
      <t xml:space="preserve">mediated </t>
    </r>
    <r>
      <t>by perceived task significance.</t>
    </r>
  </si>
  <si>
    <r>
      <t xml:space="preserve">We used the coefficients from the prior analyses and then applied </t>
    </r>
    <r>
      <rPr>
        <b/>
      </rPr>
      <t xml:space="preserve">bootstrapping </t>
    </r>
    <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</si>
  <si>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</si>
  <si>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</si>
  <si>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t xml:space="preserve">See Table 9 </t>
  </si>
  <si>
    <t>t(73) = 2.38</t>
  </si>
  <si>
    <t>t(97) = 0.41</t>
  </si>
  <si>
    <t>t(73) = 2.37</t>
  </si>
  <si>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</si>
  <si>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After controlling for prosocial motivation and perceived task significance, we found that the partial 
product term was a significant predictor of performance (B = 5.50, SE = 2.01, Beta =  .32, t = 2.73,
p = .01), and it remained significant even after controlling for manager trustworthiness and its 
interaction with prosocial motivation.</t>
  </si>
  <si>
    <t>t(73) = 2.73</t>
  </si>
  <si>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</si>
  <si>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t(97) = 2.69</t>
  </si>
  <si>
    <r>
      <t xml:space="preserve">Hypothesis 3b: The moderating effect of manager trustworthiness
on the relationship between prosocial motivation and
performance is </t>
    </r>
    <r>
      <rPr>
        <b/>
      </rPr>
      <t xml:space="preserve">mediated </t>
    </r>
    <r>
      <t>by perceived task significance.</t>
    </r>
  </si>
  <si>
    <r>
      <t>The size of the indirect effect from the full sample was 1.13 for integrity and 0.88 for benevolence, 
and the 95% confidence intervals excluded 0 for both</t>
    </r>
    <r>
      <rPr>
        <b/>
      </rPr>
      <t xml:space="preserve"> integrity (0.193, 2.999)</t>
    </r>
    <r>
      <t xml:space="preserve"> and </t>
    </r>
    <r>
      <rPr>
        <b/>
      </rPr>
      <t>benevolence 
(0.22, 2.804)</t>
    </r>
    <r>
      <t>. Thus, providing further support for Hypothesis 3b, perceived task significance 
mediated the moderated effect of manager trustworthiness on the relationship between
prosocial motivation and performance.</t>
    </r>
  </si>
  <si>
    <t>(0.193, 2.999)</t>
  </si>
  <si>
    <t>(0.22, 2.804)</t>
  </si>
  <si>
    <r>
      <t>Hypothesis 1: Manager trustworthiness is</t>
    </r>
    <r>
      <rPr>
        <b/>
      </rPr>
      <t xml:space="preserve"> positively associated
</t>
    </r>
    <r>
      <t xml:space="preserve"> with employees’perceptions of task significance.</t>
    </r>
  </si>
  <si>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</si>
  <si>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We once again tested Hypothesis 4 by examining the three-way interaction between prosocial
 motivation, manager trustworthiness, and dispositional trust propensity. After controlling for all 
predictors and two-way interactions, the three-way interaction of prosocial motivation, manager 
trustworthiness, and dispositional trust propensity was a significant predictor of performance</t>
  </si>
  <si>
    <t>t(73) = -2.12</t>
  </si>
  <si>
    <r>
      <t>Hypothesis 2: Manager trustworthiness</t>
    </r>
    <r>
      <rPr>
        <b/>
      </rPr>
      <t xml:space="preserve"> moderates</t>
    </r>
    <r>
      <t xml:space="preserve"> the 
relationship between employees’ prosocial motivation and 
performance. The higher employees’ perceptions of managers 
as trustworthy, the stronger the positive association of employees’
prosocial motivation with their performance
</t>
    </r>
  </si>
  <si>
    <r>
      <t xml:space="preserve">Hypothesis 3a: Perceived task significance </t>
    </r>
    <r>
      <rPr>
        <b/>
      </rPr>
      <t xml:space="preserve">moderates </t>
    </r>
    <r>
      <t>the
relationship between prosocial motivation and performance.
The higher the perceived task significance, the stronger the
positive association of employees’ prosocial motivation with
their performance.</t>
    </r>
  </si>
  <si>
    <t>t(73) = -2.22</t>
  </si>
  <si>
    <r>
      <t xml:space="preserve">Hypothesis 3b: The moderating effect of manager trustworthiness
on the relationship between prosocial motivation and
performance is </t>
    </r>
    <r>
      <rPr>
        <b/>
      </rPr>
      <t xml:space="preserve">mediated </t>
    </r>
    <r>
      <t>by perceived task significance.</t>
    </r>
  </si>
  <si>
    <r>
      <t>The size of the indirect effect from the full sample was 1.13 for integrity and 0.88 for benevolence, 
and the 95% confidence intervals excluded 0 for both</t>
    </r>
    <r>
      <rPr>
        <b/>
      </rPr>
      <t xml:space="preserve"> integrity (0.193, 2.999)</t>
    </r>
    <r>
      <t xml:space="preserve"> and </t>
    </r>
    <r>
      <rPr>
        <b/>
      </rPr>
      <t>benevolence 
(0.22, 2.804)</t>
    </r>
    <r>
      <t>. Thus, providing further support for Hypothesis 3b, perceived task significance 
mediated the moderated effect of manager trustworthiness on the relationship between
prosocial motivation and performance.</t>
    </r>
  </si>
  <si>
    <r>
      <t xml:space="preserve">Hypothesis 4: There will be a three-way </t>
    </r>
    <r>
      <rPr>
        <b/>
      </rPr>
      <t xml:space="preserve">interaction </t>
    </r>
    <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</si>
  <si>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t(73) = 2.12</t>
  </si>
  <si>
    <t>t(73) = 2.22</t>
  </si>
  <si>
    <t>https://doi.org/10.1037/0021-9010.91.4.971</t>
  </si>
  <si>
    <t>Rupp</t>
  </si>
  <si>
    <t>Hypothesis 1: IJ coming from the customer (CIJ) will have a main effect on self-reported EL. 
That is, individuals exposed to unfair customers will report higher levels of EL than will
those exposed to fair customers.</t>
  </si>
  <si>
    <t>Table 1 shows the means, standard deviations, and alpha coefficients
for all the measures used in this study. Hypothesis 1
predicted that CIJ would have a main effect on self-reported EL. A
one-way ANOVA confirmed this prediction, F(1, 121) = 15.84,
p &lt; .01, eta2 = .13, Mjustice = 2.77, Minjustice = 3.29. Individuals
who were treated in an interactionally unfair manner found it more
difficult to engage in EL than did those who were treated in an
interactionally fair manner.</t>
  </si>
  <si>
    <t>F(1, 121) = 15.84</t>
  </si>
  <si>
    <t>p &lt; .01</t>
  </si>
  <si>
    <t xml:space="preserve"> eta2 = .13</t>
  </si>
  <si>
    <t>Hypothesis 2: CIJ will have a main effect on employees’ ability to adhere to display rules. 
That is, individuals will report finding it more difficult to obey their organization’s display
rules if they are exposed to unfair customers than to fair ones.</t>
  </si>
  <si>
    <t>Hypothesis 2 predicted that CIJ would have a main effect on
difficulty adhering to display rules. This was confirmed as well,
F(1, 121) = 10.65, p &lt; .01, eta2 = .08, Mjustice = 4.72, Minjustice =
5.28. Participants exposed to interactionally unfair customers
found it more difficult to abide by their organization’s rules for
appropriate emotional display than did participants exposed to
interactionally fair customers.</t>
  </si>
  <si>
    <t>F(1, 121) = 10.65</t>
  </si>
  <si>
    <t>eta2 = .08</t>
  </si>
  <si>
    <t>Hypothesis 3: CIJ will have a main effect on other-reported perceived EL. That is, 
raters will judge participants’ EL higher for employees who have been treated unfairly by their
customers than for those who have been more fairly treated.</t>
  </si>
  <si>
    <t>Hypothesis 3 predicted that CIJ would have a main effect on
others’ perceptions of EL. Consistent with prior research (Ashforth
&amp; Humphrey, 1993; Grandey, 2003), we found that CIJ had a
significant impact on others’ ratings of employee EL, F(1, 121) =
141.21, p &lt; .001, eta2 = .56, Mjustice = 2.47, Minjustice = 4.80.
Participants who were treated with interactional injustice were
rated as engaging in more EL than were participants who were
fairly treated, confirming Hypothesis 3.</t>
  </si>
  <si>
    <t>F(1, 121) = 141.21</t>
  </si>
  <si>
    <t>p &lt; .001</t>
  </si>
  <si>
    <t>eta2 = .56,</t>
  </si>
  <si>
    <t>4a</t>
  </si>
  <si>
    <t>Hypothesis 4a: Anger will partially mediate the relationship between CIJ and EL. 
Individuals who are unfairly treated will report experiencing higher levels of anger than will 
those who are fairly treated. Such negative emotions in turn will cause unfairly treated individuals 
to engage in higher levels of EL as compared to those reported by fairly treated individuals.</t>
  </si>
  <si>
    <t xml:space="preserve">As recommended by Baron and Kenny, we used Sobel’s (1982) statistic to test for the
significance of the mediating effect. We report effects of both mediators in Table 2. 
As is shown, the relationship between CIJ and EL is significantly reduced when anger 
( p &lt; .05) is controlled for, providing support for H4a. </t>
  </si>
  <si>
    <t>z = 1.96</t>
  </si>
  <si>
    <t>4b</t>
  </si>
  <si>
    <t>Hypothesis 4b: Happiness will partially mediate the relationship between CIJ and EL. 
Unfairly treated employees will report experiencing less happiness than will fairly treated
employees. In turn, lower levels of happiness will lead to higher levels of EL for unfairly treated 
employees than for fairly treated employees.</t>
  </si>
  <si>
    <t>The same attenuation in the relationship between CIJ and EL was not observed when 
controlling for happiness ( p &lt; .05). Thus, H4b was not supported.</t>
  </si>
  <si>
    <t>z = 1.79</t>
  </si>
  <si>
    <t>https://doi.org/10.1037/a0035183</t>
  </si>
  <si>
    <t>Wee</t>
  </si>
  <si>
    <t>https://doi.org/10.1037/a0026055</t>
  </si>
  <si>
    <t>Berneth</t>
  </si>
  <si>
    <t>https://doi.org/10.1037/0021-9010.93.3.513</t>
  </si>
  <si>
    <t>Hierarchical Linear Modelling</t>
  </si>
  <si>
    <t>Choi</t>
  </si>
  <si>
    <t>https://doi.org/10.1037/0021-9010.90.6.1044</t>
  </si>
  <si>
    <t>No testing</t>
  </si>
  <si>
    <t>Bowling</t>
  </si>
  <si>
    <t>https://doi.org/10.1037/a0015848</t>
  </si>
  <si>
    <t>SEM</t>
  </si>
  <si>
    <t>Walumbwa</t>
  </si>
  <si>
    <t>https://doi.org/10.1037/0021-9010.91.4.946</t>
  </si>
  <si>
    <t>Neal</t>
  </si>
  <si>
    <t xml:space="preserve"> https://doi.org/10.1037/0021-9010.91.2.475</t>
  </si>
  <si>
    <t>Regression Analysis</t>
  </si>
  <si>
    <t>Chan</t>
  </si>
  <si>
    <t>https://doi.org/10.1037/0021-9010.90.2.284</t>
  </si>
  <si>
    <t>Wong</t>
  </si>
  <si>
    <t>Hypothesis 1: The same level of objective performance will be perceived as better when it is
 positively framed than when it is negatively framed.</t>
  </si>
  <si>
    <t>The previous observations were confirmed by a 2 (framing) x 2 (ratee) x 6 (rating dimensions) 
analysis of variance (ANOVA). The main effect of framing was significant, F(1, 75) = 43.70, 
MSE = 13.33, p &lt; .01, eta2 = .37, indicating that the mean rating in the positively framed 
condition (7.33) was greater than that in the negatively framed condition (5.74). 
This finding supports Hypothesis 1 that the same objective performance is perceived as better 
when it is framed positively than when it is framed negatively</t>
  </si>
  <si>
    <t>F(1, 75) = 43.70</t>
  </si>
  <si>
    <t>eta2 = .37</t>
  </si>
  <si>
    <t xml:space="preserve">Hypothesis 2: The perceived performance difference between individuals is smaller when the 
objective behaviors are expressed with large absolute numbers than when they are expressed
 with small absolute numbers.
</t>
  </si>
  <si>
    <t>More important, the Framing  x Ratee interaction was significant, 
F(1, 75) = 10.55, MSE = 3.44, p &lt; .01, eta2 = .12, indicating that the mean rating differences 
between Andy and William were smaller in the positively framed condition (7.97 vs. 6.69) than 
in the negatively framed condition (6.78 vs. 4.70). Because the positively framed condition is
 associated with large numbers and the negatively framed condition is associated with small 
numbers, the significant Framing x Ratee interaction supports Hypothesis 2, which states that 
the perceived performance difference between individuals is smaller when the objective behaviors
 are expressed with large absolute numbers than when they are expressed with small absolute numbers.</t>
  </si>
  <si>
    <t>F(1, 75) = 10.55</t>
  </si>
  <si>
    <t xml:space="preserve"> eta2 = .12</t>
  </si>
  <si>
    <t>Hypothesis 3: Preference reversal will occur in the overall
evaluation of two ratees with a trade-off between two performance
attributes when the performance is displayed differently.
By switching the expression of the two performance
attributes (large vs. small numbers), one ratee may be more
preferred than the other ratee in one condition yet less preferred
in the other condition.</t>
  </si>
  <si>
    <r>
      <t xml:space="preserve">This figure clearly shows a crossover interaction pattern. The mean rating for David
was higher than that for Andy in the David-favored condition while the opposite was true in the 
Andy-favored condition. A 2 (format: Andy favored vs. David favored) X 2 (candidate: Andy
vs. David) ANOVA confirmed this observation. The focal Format X Candidate interaction was 
significant, F(1, 38) = 15.81, MSE = 0.66, p &lt; .01, eta^2 = .30. Planned comparisons revealed
that in the David-favored condition, the mean rating for David (5.00) was significantly 
higher than that for Andy (4.24), </t>
    </r>
    <r>
      <rPr>
        <b/>
      </rPr>
      <t>F(1, 38) = 9.28, MSE = 0.66, p &lt; .01, eta^2 = .44</t>
    </r>
    <r>
      <t xml:space="preserve">. Conversely, in the
Andy-favored condition, the mean rating for Andy (4.68) was significantly higher than that for 
David (4.00), </t>
    </r>
    <r>
      <rPr>
        <b/>
      </rPr>
      <t>F(1, 38) = 6.77, MSE = 0.66, p &lt; .05, eta^2 = .21</t>
    </r>
    <r>
      <t>. These findings therefore support
Hypothesis 3.</t>
    </r>
  </si>
  <si>
    <t>F(1,38) = 9.28</t>
  </si>
  <si>
    <t>p &lt; .05</t>
  </si>
  <si>
    <t>eta2 = .44</t>
  </si>
  <si>
    <t>F(1,38) = 6.77</t>
  </si>
  <si>
    <t>eta2 = .21</t>
  </si>
  <si>
    <t>https://doi.org/10.1037/0021-9010.89.5.755</t>
  </si>
  <si>
    <t>Meta-Analysis</t>
  </si>
  <si>
    <t>Judge</t>
  </si>
  <si>
    <t>https://doi.org/10.1037/a0038036</t>
  </si>
  <si>
    <t>Mediation</t>
  </si>
  <si>
    <t>Chen</t>
  </si>
  <si>
    <r>
      <t xml:space="preserve">Hypothesis 5: An individual member’s self-efficacy </t>
    </r>
    <r>
      <rPr>
        <b/>
      </rPr>
      <t>mediates</t>
    </r>
    <r>
      <t xml:space="preserve">
the positive relationship between </t>
    </r>
    <r>
      <rPr>
        <b/>
      </rPr>
      <t>servant leadership and his or
her service performance</t>
    </r>
    <r>
      <t>, including (a) service quality, (b)
customer-focused citizenship behavior, and (c) customeroriented
prosocial behavior.</t>
    </r>
  </si>
  <si>
    <t xml:space="preserve">Supporting Hypotheses 5 and 6, as shown in Table 4, sample bootstrapping tests of indirect effects 
(Preacher &amp; Hayes, 2008) indicate that servant leadership was related significantly and indirectly through
 self-efficacy to service quality, 95% CI [.05, .18], p &lt; .05; customer-focused 
citizenship behavior, 95% CI [.04, .19], p &lt; .05; and customer-oriented prosocial behavior, 
95% CI [.07, .21], p &lt; .01, after taking the effect of transformational leadership into account. 
Table 4 also shows that servant leadership significantly and indirectly related through group 
identification to service quality, 95% CI [.01, .09], p &lt; .05; customer-focused citizenship behavior, 
95% CI [.02, .12], p &lt; .05; and customer-oriented prosocial behavior, 95% CI [.02, .11], p &lt; .05. 
</t>
  </si>
  <si>
    <t>95% CI [.05, .18]</t>
  </si>
  <si>
    <t>(.05, .18)</t>
  </si>
  <si>
    <t>95% CI [.04, .19]</t>
  </si>
  <si>
    <t>(.04, .19)</t>
  </si>
  <si>
    <t>95% CI [.07, .21]</t>
  </si>
  <si>
    <t>(.07, .21)</t>
  </si>
  <si>
    <r>
      <t xml:space="preserve">Hypothesis 6: An individual member’s group identification
</t>
    </r>
    <r>
      <rPr>
        <b/>
      </rPr>
      <t xml:space="preserve">mediates </t>
    </r>
    <r>
      <t xml:space="preserve">the positive relationship </t>
    </r>
    <r>
      <rPr>
        <b/>
      </rPr>
      <t>between servant leadership
and his or her service performance</t>
    </r>
    <r>
      <t>, including (a) service
quality, (b) customer-focused citizenship behavior, and (c)
customer-oriented prosocial behavior.</t>
    </r>
  </si>
  <si>
    <t xml:space="preserve"> 95% CI [.01, .09]</t>
  </si>
  <si>
    <t>(.01, .09)</t>
  </si>
  <si>
    <t>95% CI [.02, .12]</t>
  </si>
  <si>
    <t>(.02, .12)</t>
  </si>
  <si>
    <t xml:space="preserve"> 95% CI [.02, .11</t>
  </si>
  <si>
    <t>(.02, .11)</t>
  </si>
  <si>
    <t>https://doi.org/10.1037//0021-9010.87.4.797</t>
  </si>
  <si>
    <t>https://doi.org/10.1037/0021-9010.92.3.693</t>
  </si>
  <si>
    <t>Arvey</t>
  </si>
  <si>
    <t>https://doi.org/10.1037/0021-9010.88.5.944</t>
  </si>
  <si>
    <t>Chapman</t>
  </si>
  <si>
    <t>1a</t>
  </si>
  <si>
    <r>
      <t xml:space="preserve">Perceptions of </t>
    </r>
    <r>
      <rPr>
        <b/>
      </rPr>
      <t>(a) the fairness of the interview</t>
    </r>
    <r>
      <t>, will be more favorable in 
response to face-to-face interviews than to technology-mediated interviews</t>
    </r>
  </si>
  <si>
    <t>We conducted t tests on the group centroids, which revealed that face-to-face interviews were perceived 
as significantly more fair than telephone, t(694) = 8.44, p &lt;.01 (d = .83), and videoconference
interviews, t(648) = 6.65, p &lt; .01 (d = .77). No difference in perceived fairness was found between 
telephone and videoconference interviews, t(205) = .257, p = .80. Thus, Hypothesis 1a was
supported.</t>
  </si>
  <si>
    <t>t(694) = 8.44</t>
  </si>
  <si>
    <t>d = 0.83</t>
  </si>
  <si>
    <t>t(648) = 6.65</t>
  </si>
  <si>
    <t>d = 0.77</t>
  </si>
  <si>
    <t>1b</t>
  </si>
  <si>
    <r>
      <rPr>
        <b/>
      </rPr>
      <t>(b) interview difficulty</t>
    </r>
    <r>
      <t>, will be more favorable in response to face-to-face interviews than
to technology-mediated interviews</t>
    </r>
  </si>
  <si>
    <r>
      <t xml:space="preserve">We conducted t tests on the group centroids, which indicated that </t>
    </r>
    <r>
      <rPr>
        <b/>
      </rPr>
      <t>perceived interview
outcome</t>
    </r>
    <r>
      <t xml:space="preserve"> was significantly lower for videoconference interviews than telephone, 
t(208) = 3.10, p = .02 (d = .42), and face-to-face interviews, t(651) = 2.76, p = .01 (d = .29); however,
there was no significant difference between telephone and face-to-face interviews, t(698) = 1.11, p = .27. 
Face-to-face interviews were more favorably regarded than videoconferences, however, because 
face-to-face interviews were not more favorably regarded than telephone interviews; 
</t>
    </r>
    <r>
      <rPr>
        <b/>
      </rPr>
      <t>Hypotheses 1b</t>
    </r>
    <r>
      <t xml:space="preserve"> and 1c were only partially supported.
</t>
    </r>
    <r>
      <rPr>
        <b/>
      </rPr>
      <t xml:space="preserve">//// I DONT SEE ANY INTERVIEW DIFFICULTY MEASUREMENT (H1b) HERE </t>
    </r>
  </si>
  <si>
    <t xml:space="preserve">No answer to H1b </t>
  </si>
  <si>
    <t>1c</t>
  </si>
  <si>
    <r>
      <rPr>
        <b/>
      </rPr>
      <t>(c) expectancies for a favorable interview outcome</t>
    </r>
    <r>
      <t xml:space="preserve"> will be more favorable in response 
to face-to-face interviews than to technology-mediated interviews</t>
    </r>
  </si>
  <si>
    <r>
      <t xml:space="preserve">We conducted t tests on the group centroids, which indicated that </t>
    </r>
    <r>
      <rPr>
        <b/>
      </rPr>
      <t xml:space="preserve">perceived interview
outcome </t>
    </r>
    <r>
      <t xml:space="preserve">was significantly lower for videoconference interviews than telephone, 
t(208) = 3.10, p = .02 (d = .42), and face-to-face interviews, </t>
    </r>
    <r>
      <rPr>
        <b/>
      </rPr>
      <t>t(651) = 2.76, p = .01 (d = .29)</t>
    </r>
    <r>
      <t>; however,
there was no significant difference between telephone and face-to-face interviews,</t>
    </r>
    <r>
      <rPr>
        <b/>
      </rPr>
      <t xml:space="preserve"> t(698) = 1.11, p = .27</t>
    </r>
    <r>
      <t xml:space="preserve">. 
Face-to-face interviews were more favorably regarded than videoconferences, however, because 
face-to-face interviews were not more favorably regarded than telephone interviews; 
Hypotheses 1b and </t>
    </r>
    <r>
      <rPr>
        <b/>
      </rPr>
      <t>1c</t>
    </r>
    <r>
      <t xml:space="preserve"> were only partially supported. </t>
    </r>
  </si>
  <si>
    <t>t(651) = 2.76</t>
  </si>
  <si>
    <t>p = .01</t>
  </si>
  <si>
    <t>d = 0.29</t>
  </si>
  <si>
    <t xml:space="preserve"> t(698) = 1.11</t>
  </si>
  <si>
    <t>p = .27</t>
  </si>
  <si>
    <t>1d</t>
  </si>
  <si>
    <r>
      <rPr>
        <b/>
      </rPr>
      <t xml:space="preserve">(d) intentions to accept a job offer </t>
    </r>
    <r>
      <t>will be more favorable in response to face-to-face interviews
than to technology-mediated interviews</t>
    </r>
  </si>
  <si>
    <r>
      <t>After controlling for preinterview intentions, face-to-face interviews lead to significantly higher 
postinterview acceptance intentions than telephone interviews,</t>
    </r>
    <r>
      <rPr>
        <b/>
      </rPr>
      <t xml:space="preserve"> t(706) = 2.02, p = .04 (d = .15)</t>
    </r>
    <r>
      <t xml:space="preserve">. However, 
face-to-face interviews produced only marginally higher acceptance intentions than videoconferencing interviews,
</t>
    </r>
    <r>
      <rPr>
        <b/>
      </rPr>
      <t>t(660) = 1.75, p = .08 (d = .12)</t>
    </r>
    <r>
      <t>. Acceptance intentions for telephone and videoconferencing interviews were 
not significantly different, t(211) =.210, p = .83. Hypothesis 1d was therefore
partially supported.</t>
    </r>
  </si>
  <si>
    <t>t(706) = 2.02</t>
  </si>
  <si>
    <t>p = .04</t>
  </si>
  <si>
    <t>d = 0.15</t>
  </si>
  <si>
    <t>t(660) = 1.75</t>
  </si>
  <si>
    <t>p = .08</t>
  </si>
  <si>
    <t>d = 0.12</t>
  </si>
  <si>
    <r>
      <t xml:space="preserve">The relationship between interview modality and the outcome variables will be </t>
    </r>
    <r>
      <rPr>
        <b/>
      </rPr>
      <t xml:space="preserve">moderated </t>
    </r>
    <r>
      <t>by 
selfmonitoring such that reactions will be more favorable as self-monitoring ability increases for 
face-to-face interviews, but increasingly negative as self-monitoring ability increases
for videoconference and telephone interviews.</t>
    </r>
  </si>
  <si>
    <t>Consistent with Hypothesis 2, self-monitoring was found to be
a significant moderator of the relationship between interview medium
and perceived fairness, (delta)R2 = .023, (delta)F(2, 759) = 9.75, p &lt; .01 (see Figure 1). /// Self-monitoring did not 
moderate the relationship between interview medium and the remaining applicant reaction measures (see Table 3):
acceptance intentions, F(2, 761) = .453, p = .64; expectancy of a favorable outcome, F(2, 756) = 1.874, p = .15; 
perceived interview difficulty, F(2, 756) = .120, p = .89. Hypothesis 2 was partially
supported.</t>
  </si>
  <si>
    <t>F(2, 759) = 9.75</t>
  </si>
  <si>
    <t xml:space="preserve"> F(2, 761) = 0.453</t>
  </si>
  <si>
    <t>p = .64</t>
  </si>
  <si>
    <t>F(2, 756) = 1.874</t>
  </si>
  <si>
    <t>p = .15</t>
  </si>
  <si>
    <t xml:space="preserve"> F(2, 756) = 0.120</t>
  </si>
  <si>
    <t>p = .89</t>
  </si>
  <si>
    <r>
      <t xml:space="preserve">Hypothesis 3: The relationship between interview modality and the outcome variables will be 
</t>
    </r>
    <r>
      <rPr>
        <b/>
      </rPr>
      <t xml:space="preserve">moderated </t>
    </r>
    <r>
      <t>by the number of offers received such that applicants with a greater number
of offers will react more favorably to face-to-face interviews but increasingly negatively as the 
number of offers received increases for videoconference and telephone interviews</t>
    </r>
  </si>
  <si>
    <t>In support of Hypothesis 3, the number of offers that an applicant received was a significant moderator between 
interview medium and perceived fairness, although the effect was small, 
(delta)R2 = .011, (delta)F(2, 532) = 3.12, p = .05.</t>
  </si>
  <si>
    <t>F(2, 532) = 3.12</t>
  </si>
  <si>
    <t>p = .05</t>
  </si>
  <si>
    <t>https://doi.org/10.1037/apl0000251</t>
  </si>
  <si>
    <t>Review</t>
  </si>
  <si>
    <t>Bodner</t>
  </si>
  <si>
    <t xml:space="preserve"> https://doi.org/10.1037/0021-9010.88.6.1057</t>
  </si>
  <si>
    <t>Bond</t>
  </si>
  <si>
    <t>https://doi.org/10.1037//0021-9010.85.4.504</t>
  </si>
  <si>
    <t>Comparing two measures</t>
  </si>
  <si>
    <t>Olsson</t>
  </si>
  <si>
    <t>https://doi.org/10.1037/0021-9010.88.2.363</t>
  </si>
  <si>
    <t>Zickar</t>
  </si>
  <si>
    <t>https://doi.org/10.1037/a0023322</t>
  </si>
  <si>
    <t>Shen</t>
  </si>
  <si>
    <t>https://doi.org/10.1037/a0037233</t>
  </si>
  <si>
    <t>Li</t>
  </si>
  <si>
    <t>https://doi.org/10.1037//0021-9010.86.1.93</t>
  </si>
  <si>
    <t>Shaw</t>
  </si>
  <si>
    <t>1?</t>
  </si>
  <si>
    <t>More specifically, we expected that the correlation between confidence and response time would 
be significantly lower when participants were instructed during the recognition task to emphasize
speed than when they were told to emphasize accuracy.</t>
  </si>
  <si>
    <r>
      <t xml:space="preserve"> To compare the correlations, we used Fisher's r to z transformation (Fisher, 1921, as described in Howell, 1992)
 to calculate a z score for each relevant comparison. For the possible questions, the confidence-response time 
correlation in the emphasize-accuracy condition (r = —.53) was significantly larger than the correlation in the 
emphasize-speed condition (r = —.18),</t>
    </r>
    <r>
      <rPr>
        <b/>
      </rPr>
      <t xml:space="preserve"> Fisher's z = 1.76, p &lt; .05.</t>
    </r>
    <r>
      <t xml:space="preserve"> For the impossible questions,
 the confidence-response time correlation in the emphasize-accuracy condition (r = — .43) was marginally
 larger than the correlation in the emphasize-speed condition (r = -.10), </t>
    </r>
    <r>
      <rPr>
        <b/>
      </rPr>
      <t xml:space="preserve">Fisher's z = 1.55, p = .06.
</t>
    </r>
  </si>
  <si>
    <t>z = 1.76</t>
  </si>
  <si>
    <t>Dancing around the .05</t>
  </si>
  <si>
    <t>z = 1.55</t>
  </si>
  <si>
    <t>p = .06</t>
  </si>
  <si>
    <t>First, would the recognition practice lead to lower response times for the practiced items,
as expected under the response-fluency hypothesis (Shaw, 1996)?</t>
  </si>
  <si>
    <r>
      <t xml:space="preserve"> As to response accuracy for the possible questions,</t>
    </r>
    <r>
      <rPr>
        <b/>
      </rPr>
      <t xml:space="preserve"> there was a marginally significant main effect </t>
    </r>
    <r>
      <t>of recognition 
practice in that the mean accuracy for the practiced items (M = 80.6% correct) was somewhat higher than for the
 unpracticed items (M = 70.0% correct), F(1, 39) = 3.82, MSE = 0.12</t>
    </r>
    <r>
      <rPr>
        <b/>
      </rPr>
      <t>, p &lt; .06</t>
    </r>
    <r>
      <t>, eta^2 = .09</t>
    </r>
  </si>
  <si>
    <t>F(1, 39) = 3.82</t>
  </si>
  <si>
    <t>p &lt; .06</t>
  </si>
  <si>
    <t>eta^2 = .09</t>
  </si>
  <si>
    <t>Nooo significance god damnit!! This study has n = 5! watch out!</t>
  </si>
  <si>
    <r>
      <t xml:space="preserve">Second, would postevent recognition practice </t>
    </r>
    <r>
      <rPr>
        <b/>
      </rPr>
      <t xml:space="preserve">moderate </t>
    </r>
    <r>
      <t>the impact of the final recognition 
instructions on the confidence-response time relationship?</t>
    </r>
  </si>
  <si>
    <t>There was no Recognition Practice X Recognition Instructions interaction for either the possible or impossible 
questions, both Fs &lt; 1.</t>
  </si>
  <si>
    <t>No clear report on results</t>
  </si>
  <si>
    <t>Thus, we expected that Experiment 3 would produce the same general pattern of results as 
did Experiment 2.To examine the effects of recognition instructions on confidence and response
time further,</t>
  </si>
  <si>
    <t xml:space="preserve">There was no main effect of recognition instructions, F(1, 39) = 1.00, ns, nor a Recognition Practice X Recognition 
Instructions interaction, F &lt; 1. </t>
  </si>
  <si>
    <t>F(1, 39) = 1.00</t>
  </si>
  <si>
    <t>ns</t>
  </si>
  <si>
    <t>https://doi.org/10.1037/0021-9010.89.6.1099</t>
  </si>
  <si>
    <t>Pollina</t>
  </si>
  <si>
    <t>The principal focus of this study was to determine whether field and laboratory groups differ with
respect to physiological responses commonly used in the field</t>
  </si>
  <si>
    <t xml:space="preserve">Maximum amplitude of blood volume and electrodermal responses, as well as pneumograph Euclidean distance 
all showed significant1 field–lab differences. Maximum amplitude of the blood volume responses were significantly 
greater in magnitude when the data were collected in the field, F(1, 102) = 75.49, p &lt; .01, eta^2 = .43. </t>
  </si>
  <si>
    <t>F(1, 102) = 75.49</t>
  </si>
  <si>
    <t>eta^2 = .43</t>
  </si>
  <si>
    <t>Hypothesis: TAKE ALL THE OUTCOME VARIABLES</t>
  </si>
  <si>
    <t>Maximum amplitude of participants’ electrodermal responses were also significantly larger in the field group, 
resulting in a significant main effect of group, F(1, 102) = 10.57, p &lt; .01, eta^2 = .09</t>
  </si>
  <si>
    <t>F(1, 102) = 10.57</t>
  </si>
  <si>
    <t>eta^2 = 0.09</t>
  </si>
  <si>
    <t>Euclidean distances derived from the pneumograph responses were greater in the field group, and these results 
were also significant in both the upper, F(1, 102) = 11.24, p &lt; .01, eta^2 = .10, 
and lower, F(1, 102) = 17.43, p &lt; .01, eta^2 = .14,</t>
  </si>
  <si>
    <t>F(1, 102) = 11.24</t>
  </si>
  <si>
    <t>eta^2 = 0.10</t>
  </si>
  <si>
    <t>F(1,102) = 17.43</t>
  </si>
  <si>
    <t>eta^2 = 0.14</t>
  </si>
  <si>
    <t xml:space="preserve"> https://doi.org/10.1037/0021-9010.89.5.809</t>
  </si>
  <si>
    <t>Goodman</t>
  </si>
  <si>
    <t xml:space="preserve">Hypothesis 1: Feedback specificity will affect learning opportunities, such that the higher the
 feedback specificity, the greater the percentage of instances of responding to good performance 
and the lower the percentage of instances of responding to poor performance during practice. </t>
  </si>
  <si>
    <t>Hypothesis 1 was supported. Feedback specificity affected learning opportunities during practice.
The higher the feedback specificity, the greater the percentage of instances participants
responded to good performance and the lower the percentage of 
instances they responded to poor performance during practice, F(2, 189) = 24.89, p = .000,  eta^2 = .22</t>
  </si>
  <si>
    <t>F(2, 189) = 24.89</t>
  </si>
  <si>
    <t>p = .000</t>
  </si>
  <si>
    <t>eta^2 = 0.22</t>
  </si>
  <si>
    <r>
      <t xml:space="preserve">Hypothesis 2: </t>
    </r>
    <r>
      <rPr>
        <b/>
      </rPr>
      <t>Opportunities for learning will be related to learning outcomes</t>
    </r>
    <r>
      <t xml:space="preserve">, such that the 
percentage of instances of responding to good (vs. poor) performance during practice will 
be positively related to the learning of rules for correct responses to good performance and
 negatively related to the learning of rules for correct responses to poor performance. </t>
    </r>
  </si>
  <si>
    <t xml:space="preserve">Hypothesis 3: Feedback specificity will be positively related to the learning of rules for 
correct responses for good performance and negatively related to the learning of rules for 
correct responses for poor performance.
</t>
  </si>
  <si>
    <t>Hypothesis 3 was supported. Feedback specificity differentially affected the learning of rules for responding to good
 and poor performance, as evidenced by the interaction between feedback specificity and the type of rules 
(good vs. poor performance rules), F(2, 180) = 16.05, p = .000, eta^2 = .15</t>
  </si>
  <si>
    <t>F(2, 180) = 16.05</t>
  </si>
  <si>
    <t>eta^2 = 0.15</t>
  </si>
  <si>
    <r>
      <t>Hypothesis 4: The relationships between feedback specificity and learning of the rules for correct
 responses for good and poor performance will be mediated by learning opportunities. 
Specifically,(a)</t>
    </r>
    <r>
      <rPr>
        <b/>
      </rPr>
      <t>feed back specificity will be positively</t>
    </r>
    <r>
      <t xml:space="preserve"> </t>
    </r>
    <r>
      <rPr>
        <b/>
      </rPr>
      <t xml:space="preserve">related </t>
    </r>
    <r>
      <t>to the</t>
    </r>
    <r>
      <rPr>
        <b/>
      </rPr>
      <t xml:space="preserve"> percentage of instances of 
responding to good performance during practice</t>
    </r>
    <r>
      <t xml:space="preserve"> and, subsequently, to the learning of correct 
responses to good performance, and </t>
    </r>
  </si>
  <si>
    <t>Hypothesis 4 was supported for the learning of rules for responding to good performance, but not for the learning of 
rules for responding to poor performance. As predicted, learning opportunities during practice partially mediated the 
relationship between feedback specificity and the learning of rules for responding to good performance, 
as shown in Table 4.</t>
  </si>
  <si>
    <r>
      <t xml:space="preserve">(b) </t>
    </r>
    <r>
      <rPr>
        <b/>
      </rPr>
      <t>feedback specificity will be negatively related</t>
    </r>
    <r>
      <t xml:space="preserve"> to the</t>
    </r>
    <r>
      <rPr>
        <b/>
      </rPr>
      <t xml:space="preserve"> percentage of instances of responding to 
poor performance during practice</t>
    </r>
    <r>
      <t xml:space="preserve"> and,subsequently,to the learning of correct responses to poor  
performance.
</t>
    </r>
  </si>
  <si>
    <t>https://doi.org/10.1037/apl0000269</t>
  </si>
  <si>
    <t>Regression</t>
  </si>
  <si>
    <t>Gupta</t>
  </si>
  <si>
    <t>https://doi.org/10.1037//0021-9010.87.5.916</t>
  </si>
  <si>
    <t>Kernan</t>
  </si>
  <si>
    <t>https://doi.org/10.1037/0021-9010.90.6.1241</t>
  </si>
  <si>
    <t>Dalal</t>
  </si>
  <si>
    <t>https://doi.org/10.1037/0021-9010-89.4.587</t>
  </si>
  <si>
    <t>Baum</t>
  </si>
  <si>
    <t>DOI not working</t>
  </si>
  <si>
    <t>https://doi.org/10.1037/0021-9010.89.4.700</t>
  </si>
  <si>
    <t>Correnational study</t>
  </si>
  <si>
    <t>Glomb</t>
  </si>
  <si>
    <t>https://doi.org/10.1037/0021-9010.88.6.989</t>
  </si>
  <si>
    <t>Beal</t>
  </si>
  <si>
    <t>https://doi.org/10.1037/apl0000071</t>
  </si>
  <si>
    <t>Lam</t>
  </si>
  <si>
    <t>https://doi.org/10.1037/a0021452</t>
  </si>
  <si>
    <t>Kraimer</t>
  </si>
  <si>
    <t>https://doi.org/10.1037/a0018137</t>
  </si>
  <si>
    <t>Korsgaard</t>
  </si>
  <si>
    <t>Hypothesis 1: The impact of the obligation to reciprocate on
helping behavior is moderated by other orientation such that
the obligation to reciprocate will have a stronger effect on
helping behavior for persons higher in other orientation.</t>
  </si>
  <si>
    <t>To test Hypothesis 1, that the effect of the obligation to reciprocate on helping would be stronger for persons high in
other orientation, we conducted a logistic regression on the dichotomous dependent variable of helping, with 
obligation to reciprocate, other orientation, and the interaction of obligation and other orientation as the predictors. 
The results of this analysis, presented in Table 1, revealed a significant interaction,
chi^2(1) = 4.10, p &lt; .05.</t>
  </si>
  <si>
    <t xml:space="preserve">A 2x2 analysis of variance yielded a significant interaction of reciprocity and other orientation on helping,
 providing support for Hypothesis 1 (see Table 2). F(1, 142) 4.84,  p &lt;  .05 </t>
  </si>
  <si>
    <t>F(1, 138) = 4.84</t>
  </si>
  <si>
    <t>eta^2 = 0.03</t>
  </si>
  <si>
    <t>Hypothesis 2: The impact of the expected reciprocity on helping behavior is moderated by other 
orientation such that expected reciprocity will have a stronger effect on helping behavior for persons 
lower in other orientation</t>
  </si>
  <si>
    <t xml:space="preserve"> A 2 x 2 analysis of variance, summarized in Table 3, indicated a significant interaction of expected reciprocity 
and other orientation prime, supporting Hypothesis 2. The pattern of the interaction effect is depicted in Figure 3</t>
  </si>
  <si>
    <t>F(1,101) = 4.92</t>
  </si>
  <si>
    <t>eta^2 = 0.04</t>
  </si>
  <si>
    <t xml:space="preserve"> https://doi.org/10.1037/a0018019</t>
  </si>
  <si>
    <t>correnatinal study</t>
  </si>
  <si>
    <t>Zoogah</t>
  </si>
  <si>
    <t xml:space="preserve"> https://doi.org/10.1037/0021-9010.88.1.131</t>
  </si>
  <si>
    <t>Meta-analytic review</t>
  </si>
  <si>
    <t>Ben-Shakhar</t>
  </si>
  <si>
    <t xml:space="preserve"> https://doi.org/10.1037//0021-9010.86.4.629</t>
  </si>
  <si>
    <t>Regressional study and significant testing</t>
  </si>
  <si>
    <t>VanDeWalle</t>
  </si>
  <si>
    <t>They are creating hypothesis with opposite direction</t>
  </si>
  <si>
    <t>https://doi.org/10.1037/ap10000052</t>
  </si>
  <si>
    <t>Lanaj</t>
  </si>
  <si>
    <t xml:space="preserve">DOI not found; lower case L bug (1 = l) </t>
  </si>
  <si>
    <t>https://doi.org/10.1037/0021-9010.91.4.856</t>
  </si>
  <si>
    <t>Frone</t>
  </si>
  <si>
    <t>https://doi.org/10.1037/a0027851</t>
  </si>
  <si>
    <t>Correlational study / Model</t>
  </si>
  <si>
    <t>Fisher</t>
  </si>
  <si>
    <t>https://doi.org/10.1037/a0039046</t>
  </si>
  <si>
    <t>Wei</t>
  </si>
  <si>
    <t>https://doi.org/10.1037//0021-9010.85.6.880</t>
  </si>
  <si>
    <t>Richman-Hirsch</t>
  </si>
  <si>
    <t>Hypothesis 1. Examinees perceive the multimedia assessment as having more content validity and 
predictive validity, as well as providing more relevant information about the job, compared with the
 paperand-pencil and computerized page-turner assessments. There are no differences between
 the paper-and-pencil and the computerized pageturner assessments.</t>
  </si>
  <si>
    <t>As Table 2 shows, the overall multivariate test statistic comparing the multimedia assessment with the other two
 assessments on examinees' perceptions was significant, multivariate F(2, 123) = 0,75 , p &lt; .05.</t>
  </si>
  <si>
    <t>F(2, 123) = 0,75</t>
  </si>
  <si>
    <t>p &gt; 0,05</t>
  </si>
  <si>
    <t>Read more, maybe a case for Rickard; They dont test some of their hypothesis in the way 
they have stated them + "this will not be significant" hypotheses</t>
  </si>
  <si>
    <t xml:space="preserve">Hypothesis 2. Examinees perceive the multimedia assessment as more procedurally and distributively
 just than both the paper-and-pencil and the computerized page-turner assessments. 
There are no differences between the paper-and-pencil and the computerized page-turner assessments.
</t>
  </si>
  <si>
    <t>Minimal support was found for Hypothesis 2, which stated that the multimedia assessment would be perceived 
as more fair; however, the trends were in the hypothesized direction. The multimedia assessment was perceived 
as slightly more procedurally just (M = 23.46) than the other two administration media were (M = 22.62) (Table 2).</t>
  </si>
  <si>
    <t>F(2, 123) = 0.03</t>
  </si>
  <si>
    <t>F(2, 123) = 0.04</t>
  </si>
  <si>
    <t>Hypothesis 3. Examinees completing the multimedia assessment and the computerized page-turner 
assessment find the assessments more enjoyable, interesting, and shorter and are more satisfied with the
assessment process than are examinees completing the paper-andpencil assessment. 
The multimedia assessment results in the most positive attitudes of the three assessments.</t>
  </si>
  <si>
    <t>Hypothesis 4. Examinees completing the multimedia assessment and
the computerized page-turner assessment perceive the assessments as
more up-to-date, modern diagnostic devices, compared with the examinees
completing the paper-and-pencil assessment. The multimedia assessment is viewed as the most modern.</t>
  </si>
  <si>
    <t>https://doi.org/10.1037/0021-9010.92.1.128</t>
  </si>
  <si>
    <t xml:space="preserve"> https://doi.org/10.1037/a0034269</t>
  </si>
  <si>
    <t>https://doi.org/10.1037/a0036628</t>
  </si>
  <si>
    <t>https://doi.org/10.1037/0021-9010.86.4.741</t>
  </si>
  <si>
    <t>https://doi.org/10.1037/apl0000117</t>
  </si>
  <si>
    <t>https://doi.org/10.1037/a0038542</t>
  </si>
  <si>
    <t>https://doi.org/10.1037/apl0000186</t>
  </si>
  <si>
    <t>review</t>
  </si>
  <si>
    <t>https://doi.org/10.1037/a0015320</t>
  </si>
  <si>
    <t>HLM</t>
  </si>
  <si>
    <t>Barnes</t>
  </si>
  <si>
    <t xml:space="preserve"> https://doi.org/10.1037/a0017595</t>
  </si>
  <si>
    <t>Halbesleben</t>
  </si>
  <si>
    <t>Hypothesis 1: State engagement will be positively associated
with work interference with family.</t>
  </si>
  <si>
    <t>Hypothesis 2: The relationship between state engagement and
work interference with family will be mediated by OCBs.</t>
  </si>
  <si>
    <t>"The tests indicated a significant mediation effect in all three samples for time-based work interference 
with family (Sample 1: Z = 2.52, p &lt; .05; Sample 2: Z = 2.45, p &lt; .05; Sample 3: Z = 3.21, p &lt; .01), 
strain-based work interference with family (Sample 1: Z = 2.02, p &lt; .05; Sample 2: Z = 2.60, p &lt; .01; 
Sample 3: Z = 2.14, p &lt; .01), and behavior-based work interference with family (Sample 1: Z = 3.09, 
p &lt; .01; Sample 2: Z = 3.42, p &lt; .01; Sample 3: Z = 2.89, p &lt; .01). Taken together, these findings indicate
 that the relationship between state engagement and work interference with family is largely accounted
 for by the performance of OCBs; thus, Hypothesis 2 is supported"</t>
  </si>
  <si>
    <t xml:space="preserve"> Z = 2.52</t>
  </si>
  <si>
    <t xml:space="preserve"> Z = 2.02</t>
  </si>
  <si>
    <t>Z = 3.09</t>
  </si>
  <si>
    <t>Z = 2.45</t>
  </si>
  <si>
    <t>Z = 2.60</t>
  </si>
  <si>
    <t>Z = 3.42</t>
  </si>
  <si>
    <t>Z = 3.21</t>
  </si>
  <si>
    <t>Z = 2.14</t>
  </si>
  <si>
    <t>Z = 2.89</t>
  </si>
  <si>
    <t>Hypothesis 3: Conscientiousness moderates the relationship
between OCBs and work interference with family such that
the relationship between OCBs and work interference with
family is stronger among less conscientious employees and
weaker among employees who are more conscientious.</t>
  </si>
  <si>
    <t>https://doi.org/10.1037/apl0000345</t>
  </si>
  <si>
    <t xml:space="preserve"> https://doi.org/10.1037/a0035863</t>
  </si>
  <si>
    <t xml:space="preserve"> https://doi.org/10.1037/0021-9010.93.2.472</t>
  </si>
  <si>
    <t>https://doi.org/10.1037/0021-9010.88.1.113</t>
  </si>
  <si>
    <t>Naquin</t>
  </si>
  <si>
    <t>Hypothesis 1: Negotiators who bargain online will exhibit
lower levels of trust than those who interact face-to-face.</t>
  </si>
  <si>
    <t xml:space="preserve">An analysis of variance (ANOVA) on these data indicated that participants who negotiated online via e-mail reported 
significantly lower post-negotiation trust levels (M = 3.66, SD = 0.28) as compared with those who communicated 
exclusively face-to-face (M = 4.56, SD = 0.18), F(1, 32) = 118.23, p &lt; .01, eta^2 = .78. The means,
 standard deviations, and intercorrelations between post-negotiation variables are shown in Table 1. </t>
  </si>
  <si>
    <t>F(1, 32) = 118.23</t>
  </si>
  <si>
    <t>eta^2 = .78</t>
  </si>
  <si>
    <t>Hypothesis 2: Negotiators who bargain online will exhibit
lower levels of pre-negotiation trust (i.e., before any interaction)
than those who interact face-to-face.</t>
  </si>
  <si>
    <t xml:space="preserve">Supporting our second hypothesis regarding pre-negotiation trust, a significant difference in trust was also evident 
for negotiators who completed pre-negotiation questionnaires. In particular, online negotiators reported significantly 
lower pre-negotiation trust (M = 3.41, SD = 0.20) than did their face-to-face counterparts (M = 4.29, SD = 0.29), 
F(1, 31) = 100.22, p &lt; .01, eta^2 = .76. </t>
  </si>
  <si>
    <t>F(1, 31) = 100.22</t>
  </si>
  <si>
    <t>eta^2 = .76.</t>
  </si>
  <si>
    <t>Hypothesis 3a: Negotiators who have bargained online will
have less desire for future interaction with their opponent than
those who have interacted face-to-face.</t>
  </si>
  <si>
    <t>In Hypothesis 3A we predicted that participants who negotiated online would be less inclined to desire
a future relationship than those who negotiated face-to-face. This hypothesis was confirmed. 
Online negotiators reported a significantly lower interest in future relations (M = 33.28, SD = 16.92)
than did persons in the face-to-face condition (M = 46.09, SD = 16.68), F(1, 32) = 4.92, p = .03, eta^2 = .14.</t>
  </si>
  <si>
    <t>F(1, 32) = 4.92</t>
  </si>
  <si>
    <t>p = .03</t>
  </si>
  <si>
    <t>Hypothesis 3b: The desire for future interaction will be mediated
by perceptions of an opponent’s trustworthiness.</t>
  </si>
  <si>
    <t>However, in support of Hypothesis 3b, trust was found to be the mediating mechanism for the desire to work
together again in the future. Significant results were observed for the influence of trust on desired future interaction 
(beta = .35, df = 33, p &lt; .01),</t>
  </si>
  <si>
    <t xml:space="preserve"> https://doi.org/10.1037/apl0000065</t>
  </si>
  <si>
    <t>https://doi.org/10.1037/0021-9010.90.6.1217</t>
  </si>
  <si>
    <t>https://doi.org/10.1037/a0035788</t>
  </si>
  <si>
    <t>https://doi.org/10.1037/0021-9010.89.2.311</t>
  </si>
  <si>
    <t xml:space="preserve"> https://doi.org/10.1037/0021-9010.90.2.363</t>
  </si>
  <si>
    <t>Jones</t>
  </si>
  <si>
    <t>Hypothesis 1: Social cues from peers about an unknown authority’s reputation for fairness explain 
variance in interactional justice judgments incremental to the authority’s behavior.</t>
  </si>
  <si>
    <t>Hypothesis 2: When controlling for the authority’s actual behavior, perceptions of interactional justice 
mediate the effect of social cues on retaliation.</t>
  </si>
  <si>
    <t>Results showed that social cues (the predictor) were related to interactional justice (the mediator), 
t(73) = 3.71, p &lt; .001, r^2 = .13. In turn, interactional justice was related to retaliation (the criterion) 
incremental to social cues, t(73) = 6.27, p &lt; .001, r^2 = .25. Social cues also significantly predicted retaliation, 
t(73) = 2.09, p = .04, r^2 = .04, but were not significant incremental to interactional justice,
 t(73) = 0.15, p &gt; .05, r^2 = .00. These results provide evidence for a fully mediated effect and, hence, 
support Hypothesis 2</t>
  </si>
  <si>
    <t>t(73) = 3.71</t>
  </si>
  <si>
    <t xml:space="preserve"> p &lt; .001</t>
  </si>
  <si>
    <t>t(73) = 6.27</t>
  </si>
  <si>
    <t>t(73) = 2.09</t>
  </si>
  <si>
    <t xml:space="preserve"> t(73) = 0.15</t>
  </si>
  <si>
    <t>p &gt; .05</t>
  </si>
  <si>
    <t>Hypotheses 3A and 3B: When a previously unknown authority acts fairly, social cues indicating that the 
authority has a reputation for being fair result in higher interactional justice (Hypothesis 3A) and lower 
retaliation (Hypothesis 3B), and social cues about unfairness result in less favorable reactions,
relative to the absence of social cues.</t>
  </si>
  <si>
    <t>We then multiplied the treatment vector by each social-cues vector to represent the interaction (Step 3).
Table 2 shows that the interaction did not predict interactional justice; 
thus, Hypotheses 3A and 4A were not supported.</t>
  </si>
  <si>
    <t>F(2,99) = 0.39</t>
  </si>
  <si>
    <t>p &lt;.05</t>
  </si>
  <si>
    <r>
      <rPr>
        <b/>
      </rPr>
      <t xml:space="preserve">Hypothesis 3B </t>
    </r>
    <r>
      <t>stated that when an authority acts fairly, social cues indicating that the authority is fair result in less 
retaliation, and cues indicating the authority is unfair result in greater retaliation, relative to the absence of social
 cues. Among the explanation-present condition, retaliation was higher among individuals who overheard that the
authority was unfair versus fair, F(1,99) = 3.65, p &lt; .05, r^2 = .03. However, no other pairwise comparisons were 
significant. Thus, Hypothesis 3B was not supported.</t>
    </r>
  </si>
  <si>
    <t>F(1,99) = 3.65</t>
  </si>
  <si>
    <t xml:space="preserve">The other pairwise comparisons are not reported, can we use this calculation? we think NO :) </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</si>
  <si>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</si>
  <si>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We then multiplied the treatment vector by each social-cues vector to represent the interaction (Step 3).
Table 2 shows that the interaction did not predict interactional justice; 
thus, Hypotheses 3A and 4A were not supported.</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</si>
  <si>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</si>
  <si>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Retaliation was higher among individuals who did not receive an explanation after they had heard that the authority
had a reputation for being fair than when they had heard nothing, F(1, 99) = 6.60, p &lt; .05, r2 = .05. 
Thus, Hypothesis 4B was supported.</t>
  </si>
  <si>
    <t>F(1, 99) = 6.60</t>
  </si>
  <si>
    <t xml:space="preserve"> https://doi.org/10.1037/0021-9010.91.4.802</t>
  </si>
  <si>
    <t>Theory building</t>
  </si>
  <si>
    <t xml:space="preserve"> https://doi.org/10.1037/a0013803</t>
  </si>
  <si>
    <t>regression</t>
  </si>
  <si>
    <t>https://doi.org/10.1037/0021-9010.88.4.725</t>
  </si>
  <si>
    <t>https://doi.org/10.1037/0021-9010.93.5.1013</t>
  </si>
  <si>
    <t>Experimental / correlational</t>
  </si>
  <si>
    <t>Boezeman</t>
  </si>
  <si>
    <t>Thus, on the basis of relevant theory and previous research among people looking for paid work, 
we predicted that anticipated pride (Hypothesis 1) would predict non-volunteers’ attraction 
to charitable volunteer organizations.</t>
  </si>
  <si>
    <r>
      <t xml:space="preserve">A hierarchical regression analysis </t>
    </r>
    <r>
      <rPr>
        <b/>
      </rPr>
      <t>showed support</t>
    </r>
    <r>
      <t xml:space="preserve"> for our predictions that among non-volunteers, anticipated 
feelings of pride (Hypothesis 1) and respect (Hypothesis 2)</t>
    </r>
  </si>
  <si>
    <t>16 supported,  1 not supported and 2 abandoned,</t>
  </si>
  <si>
    <t>and anticipated respect (Hypothesis 2) would predict non-volunteers’ attraction to charitable 
volunteer organizations.</t>
  </si>
  <si>
    <t>supported</t>
  </si>
  <si>
    <t>These results led us to predict that when non-volunteers are informed that a charitable volunteer 
organization is successful in achieving its mission, they will anticipate experiencing pride as a
volunteer at that organization (Hypothesis 3a), and as a result they will be attracted to that 
volunteer organization (Hypothesis 3b).</t>
  </si>
  <si>
    <t xml:space="preserve">We hypothesized (Hypothesis 3a) that information about organizational success would induce anticipated pride 
among non-volunteers. However, an ANOVA indicated that there was no difference between participants in 
the low success condition (M = 4.41, SD = 1.28) versus the high success condition (M = 4.40, SD = 1.04)
 in the amount of pride they anticipated experiencing as a volunteer, F(1, 122) = 0.004, ns, eta^2 = .00. </t>
  </si>
  <si>
    <t>F(1, 122) = 0.004</t>
  </si>
  <si>
    <t>eta^2 = .00</t>
  </si>
  <si>
    <t>and as a result they will be attracted to that volunteer organization (Hypothesis 3b).</t>
  </si>
  <si>
    <r>
      <t xml:space="preserve">Hypothesis 3b was </t>
    </r>
    <r>
      <rPr>
        <b/>
      </rPr>
      <t xml:space="preserve">not further examined </t>
    </r>
    <r>
      <t>because one of the preconditions for the analysis was not met</t>
    </r>
  </si>
  <si>
    <t>Accordingly, we predicted that when nonvolunteers are made aware that a charitable volunteer organization
provides support to its volunteers they will anticipate experiencing respect as a volunteer at that volunteer
organization (Hypothesis 4a) and that this will cause them to become attracted to that volunteer 
organization (Hypothesis 4b).</t>
  </si>
  <si>
    <r>
      <rPr>
        <b/>
      </rPr>
      <t xml:space="preserve">Confirming </t>
    </r>
    <r>
      <t>our prediction (Hypothesis 4a), an ANOVA showed that the participants in the high organizational support
condition anticipated experiencing significantly more respect (M = 5.56, SD = 0.89) from the volunteer organization
than did the participants in the low organizational support condition (M = 4.54, SD = 1.21), 
F(1, 122) = 29.32, p &lt; .001, eta^2 = .19</t>
    </r>
  </si>
  <si>
    <t>F(1, 122) = 29.32</t>
  </si>
  <si>
    <t>eta^2 = .19</t>
  </si>
  <si>
    <t>and that this will cause them to become attracted to that volunteer organization (Hypothesis 4b).</t>
  </si>
  <si>
    <r>
      <t xml:space="preserve">After having established that the preconditions to test Hypothesis 4b were met, the relevant regression analyses 
(Baron &amp; Kenny, 1986) showed </t>
    </r>
    <r>
      <rPr>
        <b/>
      </rPr>
      <t xml:space="preserve">support </t>
    </r>
    <r>
      <t xml:space="preserve">for the predicted mediation. 
The direct effect (b = .62, Beta = .25, p &lt; .01, R^2 =.06) </t>
    </r>
  </si>
  <si>
    <t>Therefore, we predicted that among non-volunteers the information that a charitable volunteer organization 
is successful in achieving its mission would reduce the perceived need of that volunteer organization for
additional volunteers (Hypothesis 5).</t>
  </si>
  <si>
    <r>
      <t xml:space="preserve"> However, in </t>
    </r>
    <r>
      <rPr>
        <b/>
      </rPr>
      <t xml:space="preserve">support </t>
    </r>
    <r>
      <t>of Hypothesis 5, an ANOVA indicated that participants in the high success condition 
(M = 5.42, SD = 0.99) perceived the volunteer organization to be in lesser need for additional volunteers than 
did the participants in the low success condition (M = 6.08, SD = 0.70), F(1, 122) = 18.62, p &lt; .001, eta^2 = .13</t>
    </r>
  </si>
  <si>
    <t>F(1, 122) = 18.62</t>
  </si>
  <si>
    <t>eta^2 = .13</t>
  </si>
  <si>
    <t>his is why we predict that—among non-volunteers— the information that a charitable volunteer organization
provides support to its volunteers will reduce the perceived efficiency of that volunteer organization in 
directly helping its clientele (Hypothesis 6).</t>
  </si>
  <si>
    <r>
      <t xml:space="preserve">An ANOVA also revealed a negative side effect of organizational support </t>
    </r>
    <r>
      <rPr>
        <b/>
      </rPr>
      <t>as predicted</t>
    </r>
    <r>
      <t xml:space="preserve"> in Hypothesis 6, in that
participants in the high organizational support condition perceived the volunteer organization to be less efficient in
helping its clientele (M = 4.47, SD = 0.95) than did participants in the low organizational support condition 
(M = 5.05, SD = 0.81), F(1, 122) = 13.29, p &lt; .001, eta^2 = .10.</t>
    </r>
  </si>
  <si>
    <t xml:space="preserve"> F(1, 122) = 13.29</t>
  </si>
  <si>
    <t>eta^2 = .10.</t>
  </si>
  <si>
    <t>Still searching for hypothesis 25c (?!)</t>
  </si>
  <si>
    <t>7a</t>
  </si>
  <si>
    <t>[...] we predicted that when non-volunteers are informed that a charitable volunteer organization
provides support to its volunteers (organizational support), this will cause them to anticipate experiencing
organizational respect (Hypothesis 7a), which in turn will enhance their attraction to that volunteer 
organization (Hypothesis 7b).</t>
  </si>
  <si>
    <r>
      <rPr>
        <b/>
      </rPr>
      <t xml:space="preserve">Confirming </t>
    </r>
    <r>
      <t>our prediction (Hypothesis 7a), an ANOVA showed that participants in the low organizational support
condition (M = 3.06, SD = 1.14) anticipated experiencing less organizational respect than did the participants
in the high organizational support condition (M = 5.78, SD = 0.71), F(1, 56) = 117.72, p &lt; .001, eta^2 = .68</t>
    </r>
  </si>
  <si>
    <t>F(1, 56) = 117.72</t>
  </si>
  <si>
    <t xml:space="preserve"> eta^2 = .68</t>
  </si>
  <si>
    <t>7b</t>
  </si>
  <si>
    <t>which in turn will enhance their attraction to that volunteer organization (Hypothesis 7b).</t>
  </si>
  <si>
    <r>
      <t xml:space="preserve"> the relevant regression analyses (Baron &amp; Kenny, 1986) showed </t>
    </r>
    <r>
      <rPr>
        <b/>
      </rPr>
      <t xml:space="preserve">support </t>
    </r>
    <r>
      <t>for Hypothesis 7b.</t>
    </r>
  </si>
  <si>
    <t>8a</t>
  </si>
  <si>
    <t>We also predicted that when non-volunteers are informed that the volunteers of a charitable volunteer
organization provide support to their co-volunteers (co-volunteer support), this will cause them to anticipate
experiencing co-volunteer respect (Hypothesis 8a), which in turn will contribute to their attraction to that
volunteer organization (Hypothesis 8b).</t>
  </si>
  <si>
    <r>
      <rPr>
        <b/>
      </rPr>
      <t xml:space="preserve">Confirming </t>
    </r>
    <r>
      <t>our prediction (Hypothesis 8a), an ANOVA showed that the participants in the low co-volunteer support
condition (M = 3.86, SD = 1.30) anticipated to experience less co-volunteer respect than did participants in the 
high co-volunteer support condition (M = 6.01, SD = 0.59), F(1, 56) = 67.08, p &lt; .001, eta^2 = .55.</t>
    </r>
  </si>
  <si>
    <t>F(1, 56) = 67.08</t>
  </si>
  <si>
    <t>eta^2 = .55.</t>
  </si>
  <si>
    <t>8b</t>
  </si>
  <si>
    <t>which in turn will contribute to their attraction to that volunteer organization (Hypothesis 8b).</t>
  </si>
  <si>
    <r>
      <t xml:space="preserve">As for Hypothesis 8b, in line with the procedure for testing mediation (Baron &amp; Kenny, 1986), this hypothesis 
was </t>
    </r>
    <r>
      <rPr>
        <b/>
      </rPr>
      <t>not further examined</t>
    </r>
    <r>
      <t xml:space="preserve"> because the preconditions for this analysis were not met.</t>
    </r>
  </si>
  <si>
    <t>9a</t>
  </si>
  <si>
    <t>We therefore predict that when nonvolunteers are informed that volunteers receive task support in the
volunteer organization, they will anticipate experiencing respect as a volunteer at that organization 
(Hypothesis 9a) and that this will cause them to become attracted to that volunteer organization 
(Hypothesis 9b).</t>
  </si>
  <si>
    <r>
      <rPr>
        <b/>
      </rPr>
      <t xml:space="preserve">Confirming </t>
    </r>
    <r>
      <t>our prediction (Hypothesis 9a), an ANOVA showed that participants in the low task-oriented support 
condition (M = 3.80, SD = 1.32) anticipated experiencing less respect as a volunteer than did the participants in the 
high task-oriented support condition (M = 5.06, SD = 1.09), F(1, 91) = 25.55, p &lt; .001, eta^2 = .22.</t>
    </r>
  </si>
  <si>
    <t xml:space="preserve"> F(1, 91) = 25.55</t>
  </si>
  <si>
    <t>eta^2 = .22.</t>
  </si>
  <si>
    <t>9b</t>
  </si>
  <si>
    <t>and that this will cause them to become attracted to that volunteer organization (Hypothesis 9b).</t>
  </si>
  <si>
    <r>
      <t xml:space="preserve">Our prediction (Hypotheses 9b and 10b) that the types of support would enhance the attraction to the organization 
through anticipated respect was also </t>
    </r>
    <r>
      <rPr>
        <b/>
      </rPr>
      <t xml:space="preserve">supported </t>
    </r>
    <r>
      <t>by the path analysis.</t>
    </r>
  </si>
  <si>
    <t>10a</t>
  </si>
  <si>
    <t>We also predict that when non-volunteers are informed that volunteers receive emotional support at the 
volunteer organization, they will anticipate experiencing respect as a volunteer at that organization 
(Hypothesis 10a) and that this will cause them to become attracted to that organization (Hypothesis
10b).</t>
  </si>
  <si>
    <r>
      <t xml:space="preserve">Also </t>
    </r>
    <r>
      <rPr>
        <b/>
      </rPr>
      <t xml:space="preserve">confirming </t>
    </r>
    <r>
      <t>our prediction (Hypothesis 10a), an ANOVA showed that participants in the low emotion-oriented
support condition (M = 3.61, SD = 1.21) anticipated experiencing less respect as volunteers than did the participants 
in the high emotion-oriented support condition (M = 5.25, SD = 0.96), F(1, 91) = 52.48, p &lt; .001, eta^2 = .37.</t>
    </r>
  </si>
  <si>
    <t>F(1, 91) = 52.48</t>
  </si>
  <si>
    <t xml:space="preserve"> eta^2 = .37.</t>
  </si>
  <si>
    <t>10b</t>
  </si>
  <si>
    <t>and that this will cause them to become attracted to that organization (Hypothesis 10b).</t>
  </si>
  <si>
    <r>
      <t xml:space="preserve">Our prediction (Hypotheses 9b and 10b) that the types of support would enhance the attraction to the organization 
through anticipated respect was also </t>
    </r>
    <r>
      <rPr>
        <b/>
      </rPr>
      <t xml:space="preserve">supported </t>
    </r>
    <r>
      <t>by the path analysis.</t>
    </r>
  </si>
  <si>
    <r>
      <t xml:space="preserve">On the basis of our reasoning and in line with this previous work, </t>
    </r>
    <r>
      <rPr>
        <b/>
      </rPr>
      <t>we predicted (Hypothesis 11) 
that the willingness to actually participate in the volunteer organization would result
from the attraction</t>
    </r>
    <r>
      <t xml:space="preserve"> </t>
    </r>
    <r>
      <rPr>
        <b/>
      </rPr>
      <t>to the volunteer organization that is induced by
the respect non-volunteers anticipate</t>
    </r>
    <r>
      <t xml:space="preserve"> because of the information
they receive about task support (Hypothesis 11a) and emotional
support (Hypothesis 11b) available to volunteers within the volunteer
organization.</t>
    </r>
  </si>
  <si>
    <r>
      <t xml:space="preserve">Finally, our prediction (Hypothesis 11) that perceived task support (Hypothesis 11a) and perceived emotional support
(Hypothesis 11b) would contribute positively to the willingness to participate in the volunteer organization, through
anticipated respect and the resulting attraction to the volunteer organization, was </t>
    </r>
    <r>
      <rPr>
        <b/>
      </rPr>
      <t xml:space="preserve">supported </t>
    </r>
    <r>
      <t>by the path analysis.</t>
    </r>
  </si>
  <si>
    <t>11a</t>
  </si>
  <si>
    <t>because of the information they receive about task support (Hypothesis 11a)</t>
  </si>
  <si>
    <t>11b</t>
  </si>
  <si>
    <t xml:space="preserve"> https://doi.org/10.1037/apl0000170</t>
  </si>
  <si>
    <t>Walker</t>
  </si>
  <si>
    <t>https://doi.org/10.1037/0021-9010.92.3.681</t>
  </si>
  <si>
    <t>Experiment</t>
  </si>
  <si>
    <t>Yang</t>
  </si>
  <si>
    <t>Hypothesis 1: After controlling for individual-level procedural justice perceptions, PJC will exert a positive 
cross-level influence on organizational commitment.</t>
  </si>
  <si>
    <t xml:space="preserve">In support of Hypotheses 1 and 2, the results revealed that PJC had a positive incremental impact on
organizational commitment, gamma = .52, t(53) = 3.58, p &lt; .001, </t>
  </si>
  <si>
    <t>t(53) = 3.58</t>
  </si>
  <si>
    <t>Hypothesis 2: After controlling for individual-level procedural justice perceptions, PJC will exert 
a positive cross-level influence on OCBO</t>
  </si>
  <si>
    <t>and OCBO, gamma = .42, t(53) = 2.59, p &lt; .05.</t>
  </si>
  <si>
    <t>t(53) = 2.59</t>
  </si>
  <si>
    <t>Hypothesis 3: In groups with a larger group power distance, the cross-level relationship between PJC and 
organizational commitment will be attenuated.</t>
  </si>
  <si>
    <t xml:space="preserve">When the interaction term was added to the preliminary model, its parameter estimates were negative and
significant for organizational commitment, gamma =  –.84, t(51) = –2.21, p &lt; .05, 95% CI = –.10, –1.58, </t>
  </si>
  <si>
    <t xml:space="preserve"> t(51) = 2.21</t>
  </si>
  <si>
    <t>(-.10, -1.58)</t>
  </si>
  <si>
    <t>Hypothesis 4: In groups with a larger group power distance, the cross-level relationship between PJC and 
OCBO will be attenuated.</t>
  </si>
  <si>
    <t>and OCBO, gamma = –1.02, t(51) = –2.13, p &lt; .05, 95% CI = –.08, –1.96.</t>
  </si>
  <si>
    <t>t(51) = 2.13</t>
  </si>
  <si>
    <t>(-.08, -1.96)</t>
  </si>
  <si>
    <t>https://doi.org/10.1037/a0014977</t>
  </si>
  <si>
    <t>Orvis</t>
  </si>
  <si>
    <t>https://doi.org/10.1037/a0029556</t>
  </si>
  <si>
    <t>Lang</t>
  </si>
  <si>
    <t xml:space="preserve"> https://doi.org/10.1037/a0013528</t>
  </si>
  <si>
    <t xml:space="preserve">Hierarchical linear modeling </t>
  </si>
  <si>
    <t>Erdogan</t>
  </si>
  <si>
    <t>https://doi.org/10.1037/a0038976</t>
  </si>
  <si>
    <t>Huang</t>
  </si>
  <si>
    <t xml:space="preserve"> https://doi.org/10.1037//0021-9010.87.1.156</t>
  </si>
  <si>
    <t>Zohar</t>
  </si>
  <si>
    <t>Hypothesis 1: Improved supervisory safety practices will result in better subunit safety records.</t>
  </si>
  <si>
    <t xml:space="preserve">(Table 1) Between (Experimental vs. control group) F(1, 33) = 9.61 p &lt; .001 </t>
  </si>
  <si>
    <t>F(1, 33) = 9.61</t>
  </si>
  <si>
    <t>Wrongly reported p-value (still significant thou</t>
  </si>
  <si>
    <t xml:space="preserve">Hypothesis 2: Improved supervisory safety practices will result in higher safety climate 
in organizational subunits. </t>
  </si>
  <si>
    <t>For the action subscale, F(1, 364) = 6.81, p &lt; .01, and for the expectation subscale, F(1, 364) = 3.56, p &lt; .05. 
Figures 3A and 3B indicate that this interaction was due to the fact that whereas climate scores increased in the 
experimental groups, the same did not apply to the control groups. This result is consistent with Hypothesis 2.</t>
  </si>
  <si>
    <t xml:space="preserve"> F(1, 364) = 6.81</t>
  </si>
  <si>
    <t>the safety climate is split into action and expectation</t>
  </si>
  <si>
    <t>F(1, 364) = 3.56</t>
  </si>
  <si>
    <t>Wrongly reported p-value (NOT SIGNIFICANT!)</t>
  </si>
  <si>
    <t>Hypothesis 3: Improved supervisory safety practices will result in higher rates of earplug use in 
organizational subunits</t>
  </si>
  <si>
    <t>Frequency of earplug use, also presented in Figure 1, showed a similar pattern—a sharp increase from an initial 
25% in the experimental groups (apparently influenced by the intervention) to a plateau averaging 73%. 
At the same time, there was no change for the control groups, averaging 18%. As before, this level was still 
maintained 5 months after the intervention. This finding is consistent with Hypothesis 3 concerning the effect of 
supervisory safety practices on unsafe behavior in organizational subunits.</t>
  </si>
  <si>
    <t>https://doi.org/10.1037/0021-9010.91.2.482</t>
  </si>
  <si>
    <t>multiple regression</t>
  </si>
  <si>
    <t>Hochwarter</t>
  </si>
  <si>
    <t>https://doi.org/10.1037/a0037796</t>
  </si>
  <si>
    <t>Kouchaki</t>
  </si>
  <si>
    <t xml:space="preserve">Hypothesis 1: Compared with people in a neutral state, people who feel anxious are more likely to engage
 in self-interested unethical behavior.
</t>
  </si>
  <si>
    <t>In support of our hypothesis, there was a significant difference between the two conditions on the dependent 
variable. Participants in the anxiety condition indicated that they were more likely to engage in the described
unethical behavior (M = 3.43, SD = 1.22) than those in the neutral condition 
(M = 2.80, SD = 1.06), t(56) = - 2.10, p = .041.</t>
  </si>
  <si>
    <t>t(56) = 2.10</t>
  </si>
  <si>
    <t>p = .041</t>
  </si>
  <si>
    <t xml:space="preserve">Hypothesis 2: Perceived threat mediates the relationship between anxiety and unethical behaviors.
</t>
  </si>
  <si>
    <t xml:space="preserve"> [.025, .518], </t>
  </si>
  <si>
    <t>Stated in Study 2 (not reported), reported in Study 6 (new sample); WHY?!</t>
  </si>
  <si>
    <t>Replication H1</t>
  </si>
  <si>
    <t>In support of our hypothesis, there was a significant difference between the two conditions on the number of times 
participants chose the right when there were clearly more dots in the left side (clear cheating). Participants in the 
incidental anxiety condition chose to indicate the right more frequently (M = 19.42, SD = 6.03) than did those in the 
neutral condition (M = 15.00, SD = 3.96), t(49) = 3.11, p = .003.</t>
  </si>
  <si>
    <t>t(49) = 3.11</t>
  </si>
  <si>
    <t>p = .003</t>
  </si>
  <si>
    <t>Hypothesis 3: Anxiety (compared with neutral condition) leads individuals to perceive their own self-interested 
unethical actions as less wrong and more acceptable but does not alter the evaluation of others’ 
self-interested unethical actions.</t>
  </si>
  <si>
    <t>As hypothesized, results showed that within the self condition, participants in the anxiety condition perceived
the described self-interested unethical behavior as less wrong and unethical (M = 4.72, SD = 1.74) than those in 
the neutral condition (M = 5.55, SD = 1.27), F(1, 75) = 5.74, p = .019</t>
  </si>
  <si>
    <t xml:space="preserve"> F(1, 75) = 5.74</t>
  </si>
  <si>
    <t>p = .019</t>
  </si>
  <si>
    <t>https://doi.org/10.1037/0021-9010.93.4.935</t>
  </si>
  <si>
    <t>Oreg</t>
  </si>
  <si>
    <t>https://doi.org/10.1037/0021-9010.93.3.711</t>
  </si>
  <si>
    <t>Uggerslev</t>
  </si>
  <si>
    <t>Hypothesis 1: Prior to training, rating accuracy will be negatively correlated with rater idiosyncrasy</t>
  </si>
  <si>
    <t>Hypothesis 2: Rating accuracy improvements following FOR training will be greater for trainees with 
higher omission idiosyncrasy than higher commission idiosyncrasy.</t>
  </si>
  <si>
    <t>At the behavioral level, the multivariate main effects of omission, F(5, 112) = 8.86, p &lt; .001, Roy’s largest root = .18
, and commission idiosyncrasy, F(5, 112) = 5.33, p &lt; .05, Roy’s largest root = .11, as well as the multivariate 
interaction between them, F(5, 112) = 6.91, p &lt; .05, Roy’s largest root = .15, were statistically significant.</t>
  </si>
  <si>
    <t>F(5, 112) = 6.91</t>
  </si>
  <si>
    <t>Hypothesis 3: Training will improve rating accuracy for all FOR trainees, such that trainees with relatively
 high performance theory idiosyncrasy will improve significantly more than trainees with lower idiosyncrasy</t>
  </si>
  <si>
    <t xml:space="preserve">there was a significant interaction between time and idiosyncrasy on accuracy: dimension omission: 
F(1, 118) = 9.51, p &lt; .01; </t>
  </si>
  <si>
    <t>F(1, 118) = 9.51</t>
  </si>
  <si>
    <t xml:space="preserve"> behavior omission: F(1, 118) = 23.06, p &lt; .001:</t>
  </si>
  <si>
    <t>F(1, 118) = 23.06</t>
  </si>
  <si>
    <t>behavior commission: F(1, 118) = 15.74, p &lt; .001.</t>
  </si>
  <si>
    <t xml:space="preserve"> F(1, 118) = 15.74</t>
  </si>
  <si>
    <t xml:space="preserve"> For the dimension commission measure, the interaction between time and idiosyncrasy was not significant, 
F(1, 118) = 1.74, p &gt; .05</t>
  </si>
  <si>
    <t>F(1, 118) = 1.74</t>
  </si>
  <si>
    <t>https://doi.org/10.1037/0021-9010.92.4.1103</t>
  </si>
  <si>
    <t>Partially Experimental Study (H4)</t>
  </si>
  <si>
    <t>Ragins</t>
  </si>
  <si>
    <t>Hypothesis 4: Among LGB employees who have not disclosed, or not fully disclosed, those who fear more 
negative consequences of full disclosure will report greater psychological strain at work, and less positive 
work and career attitudes, work environments, and career outcomes, than those who fear fewer negative 
consequences of disclosure</t>
  </si>
  <si>
    <t xml:space="preserve">As displayed in Table 4, Hypothesis 4 was supported; fears experienced by LGB employees who had not disclosed, 
or had not fully disclosed, their sexual orientation at work were significantly related to 13 of the 15 outcome variables
Fear of full disclosure was significantly related to all of the work attitudes studied: 
Wilks’s lambda = .85, F(6, 400) = 11.49, p &lt; .001.
</t>
  </si>
  <si>
    <t>F(6, 400) = 11.49</t>
  </si>
  <si>
    <t>Similarly, fear was significantly related to all of the work environment variables: 
Wilks’s lambda = 93, F(3, 403) = 10.39, p &lt; .001</t>
  </si>
  <si>
    <t>F(3, 403) = 10.39</t>
  </si>
  <si>
    <t xml:space="preserve">LGB employees who feared more negative consequences also reported greater psychological strain than those
 who feared less negative consequences: Wilks’s lambda = .93, F(4, 403) = 8.00, p &lt; .001. </t>
  </si>
  <si>
    <t>F(4, 403) = 8.00</t>
  </si>
  <si>
    <t>.Finally, those who feared more negative consequences to disclosure received significantly fewer promotions, 
F(1, 375) = 10.11, p = .002;</t>
  </si>
  <si>
    <t>F(1, 375) = 10.11</t>
  </si>
  <si>
    <t>p = .002</t>
  </si>
  <si>
    <t>eta^2 = 0.026</t>
  </si>
  <si>
    <t xml:space="preserve"> However, differences in compensation did not reach conventional levels of significance,
 F(1, 407) = 2.90, p = .089; eta^2 = .007. </t>
  </si>
  <si>
    <t>F(1, 407) = 2.90</t>
  </si>
  <si>
    <t>p = 0.89</t>
  </si>
  <si>
    <t>eta^2 = 0.007</t>
  </si>
  <si>
    <t>https://doi.org/10.1037/0021-9010.91.4.927</t>
  </si>
  <si>
    <t>Major</t>
  </si>
  <si>
    <t xml:space="preserve"> https://doi.org/10.1037//0021-9010.85.1.13</t>
  </si>
  <si>
    <t>Hierarchical Multiple Regression</t>
  </si>
  <si>
    <t>Garonzik</t>
  </si>
  <si>
    <t>Results are like: r(22) = .66, p &lt; .01</t>
  </si>
  <si>
    <t>https://doi.org/10.1037/0021-9010.90.6.1288</t>
  </si>
  <si>
    <t>Yun</t>
  </si>
  <si>
    <t>Hypothesis 1: The relationship between leadership and team effectiveness is moderated by the severity of
patient trauma. Specifically, directive leaders provide better quality of care when a patient is very severely
injured, but empowering leaders provide better quality of care when a patient is not severely injured.</t>
  </si>
  <si>
    <t>The first hypothesis suggested that patient condition moderates the effect of leadership on quality health care. 
The results of the GLM (see Table 2) showed a significant interaction between leadership and patient condition
 on the quality of health care. Figure 1 demonstrates that directive leaders (M = 3.06, 95% confidence interval 
[CI] = 2.83, 3.27) provided better health care than did empowering leaders (M = 2.72, 95% CI = 2.50, 2.95) when 
a patient was severely injured. However, empowering leaders (M = 3.91, 95% CI = 3.69, 4.13) provided better
 health care than did directive leaders (M = 2.16, 95% CI = 1.94, 2.38) when a patient was not severely injured. 
Therefore, Hypothesis 1 was supported.
PC x LD F(1, 90) = 119.48**  eta^2 = .26</t>
  </si>
  <si>
    <t xml:space="preserve"> F(1, 90) = 119.48</t>
  </si>
  <si>
    <t>eta^2 = 0.26</t>
  </si>
  <si>
    <t>Hypothesis 2: The relationship between leadership and team effectiveness is moderated by the degree of 
team experience. Specifically, directive leaders provide better quality of care when a trauma resuscitation 
team is inexperienced, but empowering leaders provide better quality of care when a trauma team is experienced.</t>
  </si>
  <si>
    <t xml:space="preserve">Hypothesis 2 stated the interaction effect of leadership and team experience on quality health care.
 The results indicated significant interaction between leadership and team experience. Figure 2 shows that 
empowering leadership (M = 3.65, 95% CI = 3.42, 3.82) was more effective than was directive l
eadership (M = 2.48, 95% CI = 2.25, 2.70) when a team is experienced. However, contrary to our expectations, 
the results demonstrated that empowering leadership (M = 2.99, 95% CI = 2.76, 3.21) was more effective than 
directive leadership (M = 2.74, 95% CI = 2.51, 2.96) even when a team was inexperienced (see Figure 2).
TE x LD F(1, 90) =   23,19** eta^2 = .06
</t>
  </si>
  <si>
    <t>F(1, 90) =   23.19</t>
  </si>
  <si>
    <t>eta^2 = .06</t>
  </si>
  <si>
    <t>Hypothesis 3: An empowering leader provides more learning opportunities than does a directive leader.</t>
  </si>
  <si>
    <r>
      <t xml:space="preserve">Hypothesis 3 suggested that an empowering leader provides more learning opportunities than does a directive leader. 
</t>
    </r>
    <r>
      <rPr>
        <b/>
      </rPr>
      <t>The results showed that leadership had a main effect on learning opportunity (see Table 3)</t>
    </r>
    <r>
      <t>. The mean values for
empowering and directive leadership were 4.00 (95% CI = 3.85, 4.14) and 2.49 (95% CI = 2.35, 2.63), respectively. 
Therefore, Hypothesis 3 was supported.</t>
    </r>
  </si>
  <si>
    <t>F(1, 90) = 382.52</t>
  </si>
  <si>
    <t>eta^2 = 0.53</t>
  </si>
  <si>
    <t>https://doi.org/10.1037/apl0000126</t>
  </si>
  <si>
    <t>Exponential Random Graph Models</t>
  </si>
  <si>
    <t>Kalish</t>
  </si>
  <si>
    <t>https://doi.org/10.1037//0021-9010.86.2.215</t>
  </si>
  <si>
    <t>Facteau</t>
  </si>
  <si>
    <t>https://doi.org/10.1037//0021-9010.87.4.698</t>
  </si>
  <si>
    <t>Literature review</t>
  </si>
  <si>
    <t>Rhoades</t>
  </si>
  <si>
    <t>https://doi.org/10.1037/0021-9010.92.4.113</t>
  </si>
  <si>
    <t>DOI error</t>
  </si>
  <si>
    <t>https://doi.org/10.1037/apl0000272</t>
  </si>
  <si>
    <t>Deng</t>
  </si>
  <si>
    <t>Hypothesis 1: Psychological contract violation is positively related to resource 
depletion</t>
  </si>
  <si>
    <t>2a</t>
  </si>
  <si>
    <t xml:space="preserve">Hypothesis 2a: Resource depletion is positively related to interpersonal harming 
toward coworkers. </t>
  </si>
  <si>
    <t>2b</t>
  </si>
  <si>
    <t xml:space="preserve">Hypothesis 2b: Resource depletion is negatively related to decision-making vigilance 
for clients. </t>
  </si>
  <si>
    <t xml:space="preserve">Hypothesis 3a: Psychological contract violation is positively and indirectly related to 
interpersonal harming toward coworkers through resource depletion when the mediating role 
of revenge cognitions is considered. </t>
  </si>
  <si>
    <t xml:space="preserve">Turning to Hypothesis 3a, the indirect relationship between 
psychological contract violation and interpersonal harming through resource depletion was 
significant and positive (estimate = .05, 95% CI = [.01, .10]). </t>
  </si>
  <si>
    <t>(.01, .10)</t>
  </si>
  <si>
    <t>Hypothesis 3b: Psychological contract violation is negatively and indirectly related to
decision-making vigilance for clients through resource depletion when the mediating role of
revenge cognitions is considered.</t>
  </si>
  <si>
    <t xml:space="preserve"> The indirect association 
between psychological contract violation and decision-making vigilance via resource 
depletion was also significant but negative (estimate = -.07, 95% CI = [-.12, -.01]). </t>
  </si>
  <si>
    <t>(-.12, -.01)</t>
  </si>
  <si>
    <t>Hypothesis 4: Organizational identification positively moderates the relationship
between psychological contract violation and resource depletion such that this positive
relationship is stronger when organizational identification is higher rather than lower.</t>
  </si>
  <si>
    <t xml:space="preserve">Hypothesis 5: Professional identification negatively moderates the relationship 
between psychological contract violation and resource depletion such that this positive 
relationship is weaker when professional identification is higher. </t>
  </si>
  <si>
    <t>6a</t>
  </si>
  <si>
    <r>
      <t>Hypothesis 6a: Organizational identification moderates the positive indirect effect of 
psychological contract violation on interpersonal harming toward coworkers through resource 
depletion such that this</t>
    </r>
    <r>
      <rPr>
        <b/>
      </rPr>
      <t xml:space="preserve"> indirect effect is stronger when organizational identification is higher</t>
    </r>
  </si>
  <si>
    <t>The conditional relationship between psychological contract violation and interpersonal harming
via resource depletion was significant when organizational identification was high (estimate = .04, 95% CI = [.01, .08])</t>
  </si>
  <si>
    <t>(.01, .08)</t>
  </si>
  <si>
    <t>6b</t>
  </si>
  <si>
    <r>
      <t>Hypothesis 6b: Organizational identification moderates the negative indirect effect of 
psychological contract violation on decision-making vigilance for clients through resource 
depletion such that this</t>
    </r>
    <r>
      <rPr>
        <b/>
      </rPr>
      <t xml:space="preserve"> indirect effect is stronger when organizational identification is higher. </t>
    </r>
  </si>
  <si>
    <t>Similarly, the conditional relationship to decision-making vigilance was significant when
organizational identification was high (estimate = -.05, 95% CI = [-.11, -.01])</t>
  </si>
  <si>
    <t>(-.11, -.01)</t>
  </si>
  <si>
    <r>
      <t xml:space="preserve">Hypothesis 7a: Professional identification moderates the positive indirect effect of 
psychological contract violation on interpersonal harming toward coworkers through resource 
depletion such that this </t>
    </r>
    <r>
      <rPr>
        <b/>
      </rPr>
      <t xml:space="preserve">indirect effect is weaker when professional identification is higher.  </t>
    </r>
  </si>
  <si>
    <r>
      <t xml:space="preserve">The conditional relationship to interpersonal harming was significant
when professional identification was low (estimate = .04, 95% CI = [.004, .08]) but not when
it was high </t>
    </r>
    <r>
      <rPr>
        <b/>
      </rPr>
      <t>(estimate = .01, 95% CI = [-.01, .03])</t>
    </r>
    <r>
      <t>.</t>
    </r>
  </si>
  <si>
    <t>(-.01, .03)</t>
  </si>
  <si>
    <r>
      <t xml:space="preserve">Hypothesis 7b: Professional identification moderates the negative indirect effect of 
psychological contract violation on decision-making vigilance for clients through resource 
depletion such that this </t>
    </r>
    <r>
      <rPr>
        <b/>
      </rPr>
      <t>indirect effect is weaker when professional identification is higher</t>
    </r>
  </si>
  <si>
    <r>
      <t xml:space="preserve">The conditional relationship to decision-making vigilance was significant when professional identification was low
(estimate = -.05, 95% CI = [-.11, -.01]) but not when it was high </t>
    </r>
    <r>
      <rPr>
        <b/>
      </rPr>
      <t>(estimate = -.01, 95% CI = [-.04, .02])</t>
    </r>
    <r>
      <t>.</t>
    </r>
  </si>
  <si>
    <t>(-.04, .02)</t>
  </si>
  <si>
    <t>Replication of H1</t>
  </si>
  <si>
    <r>
      <t xml:space="preserve">Furthermore, resource depletion significantly mediated the indirect effects of
psychological contract violation on both interpersonal harming </t>
    </r>
    <r>
      <rPr>
        <b/>
      </rPr>
      <t>(estimate = .05, 95% CI =
[.02, .09]</t>
    </r>
    <r>
      <t>) and decision-making vigilance</t>
    </r>
    <r>
      <rPr>
        <b/>
      </rPr>
      <t xml:space="preserve"> (estimate = .10, 95% CI = [-.16, -.05])</t>
    </r>
    <r>
      <t>. Therefore,
Hypotheses 1 to 3 were supported</t>
    </r>
  </si>
  <si>
    <t>(.02, .09)</t>
  </si>
  <si>
    <r>
      <t>and decision-making vigilance</t>
    </r>
    <r>
      <rPr>
        <b/>
      </rPr>
      <t xml:space="preserve"> (estimate = .10, 95% CI = [-.16, -.05])</t>
    </r>
  </si>
  <si>
    <t>(-.16, -.05)</t>
  </si>
  <si>
    <r>
      <t>Hypothesis 6a: Organizational identification moderates the positive indirect effect of 
psychological contract violation on interpersonal harming toward coworkers through resource 
depletion such that this</t>
    </r>
    <r>
      <rPr>
        <b/>
      </rPr>
      <t xml:space="preserve"> indirect effect is stronger when organizational identification is higher</t>
    </r>
  </si>
  <si>
    <t>The conditional relationship between psychological contract violation and interpersonal harming through resource
 depletion was significant when organizational identification was high (estimate = .09, 95% CI = [.03, .17])</t>
  </si>
  <si>
    <t>(.03, .17)</t>
  </si>
  <si>
    <r>
      <t>Hypothesis 6b: Organizational identification moderates the negative indirect effect of 
psychological contract violation on decision-making vigilance for clients through resource 
depletion such that this</t>
    </r>
    <r>
      <rPr>
        <b/>
      </rPr>
      <t xml:space="preserve"> indirect effect is stronger when organizational identification is higher. </t>
    </r>
  </si>
  <si>
    <t>Similarly, the conditional relationship between violation and decision-making vigilance was significant when
organizational identification was high (estimate = -.18, 95% CI = [-.30, -.08])</t>
  </si>
  <si>
    <t>(-.30, -.08)</t>
  </si>
  <si>
    <r>
      <t xml:space="preserve">Hypothesis 7a: Professional identification moderates the positive indirect effect of 
psychological contract violation on interpersonal harming toward coworkers through resource 
depletion such that this </t>
    </r>
    <r>
      <rPr>
        <b/>
      </rPr>
      <t xml:space="preserve">indirect effect is weaker when professional identification is higher.  </t>
    </r>
  </si>
  <si>
    <r>
      <t xml:space="preserve">However, the conditional relationship to interpersonal harming was significant when professional identification was 
low (estimate = .08, 95% CI = [.03, .15]) but not when it was high </t>
    </r>
    <r>
      <rPr>
        <b/>
      </rPr>
      <t>(estimate = .01, 95% CI = [-.04, .05])</t>
    </r>
    <r>
      <t>.</t>
    </r>
  </si>
  <si>
    <t>(-.04, .05)</t>
  </si>
  <si>
    <r>
      <t xml:space="preserve">Hypothesis 7b: Professional identification moderates the negative indirect effect of 
psychological contract violation on decision-making vigilance for clients through resource 
depletion such that this </t>
    </r>
    <r>
      <rPr>
        <b/>
      </rPr>
      <t>indirect effect is weaker when professional identification is higher</t>
    </r>
  </si>
  <si>
    <r>
      <t xml:space="preserve">The conditional relationship to decision-making vigilance was also significant when
professional identification was low (estimate = -.16, 95% CI = [-.27, -.07]) but not when it
was high </t>
    </r>
    <r>
      <rPr>
        <b/>
      </rPr>
      <t>(estimate = -.01, 95% CI = [-.10, .08])</t>
    </r>
    <r>
      <t>.</t>
    </r>
  </si>
  <si>
    <t>(-.10, .08)</t>
  </si>
  <si>
    <t>https://doi.org/10.1037/apl0000139</t>
  </si>
  <si>
    <t>Kinias</t>
  </si>
  <si>
    <t>Hypothesis 1: Stereotype threat contributes to existing gender gaps in objective professional performance.</t>
  </si>
  <si>
    <t>These differences are reflected in a significant main effect for gender, b = -.076, SE = .033, t(417) = -2.292, p = .022</t>
  </si>
  <si>
    <t>https://replicationindex.com/2017/04/07/hidden-figures-replication-failures-in-the-stereotype-threat-literature/</t>
  </si>
  <si>
    <t>Hypothesis 2: A personal values affirmation attenuates the performance gap caused by stereotype threat in 
competitive business.</t>
  </si>
  <si>
    <t>Results do not answer the questions</t>
  </si>
  <si>
    <t>Hypothesis 3: A personal values affirmation intervention is more effective than a values affirmation including 
organizational values at attenuating stereotype threat-induced gender gaps.</t>
  </si>
  <si>
    <t>Hypothesis 4: Stereotype threat contributes to, and a core personal values affirmation attenuates, one or 
more selfrelevant process that influences performance (i.e., selfefficacy, self-criticism, and/or self-doubt).</t>
  </si>
  <si>
    <t>https://doi.org/10.1037/a0037702</t>
  </si>
  <si>
    <t>"Estimates"</t>
  </si>
  <si>
    <t>Hülsheger</t>
  </si>
  <si>
    <t>https://doi.org/10.1037/0021-9010.87.5.867</t>
  </si>
  <si>
    <t>Explorative</t>
  </si>
  <si>
    <t>Lassiter</t>
  </si>
  <si>
    <t>https://doi.org/10.1037/a0038282</t>
  </si>
  <si>
    <t>cross-level relationships?</t>
  </si>
  <si>
    <t>Han</t>
  </si>
  <si>
    <t xml:space="preserve"> https://doi.org/10.1037/a0013935</t>
  </si>
  <si>
    <t>Blader</t>
  </si>
  <si>
    <t>https://doi.org/10.1037/a0019939</t>
  </si>
  <si>
    <t>Park</t>
  </si>
  <si>
    <t>https://doi.org/10.1037/a0020578</t>
  </si>
  <si>
    <t>https://doi.org/10.1037/0021-9010.91.2.446</t>
  </si>
  <si>
    <t>Hierarchical Regression</t>
  </si>
  <si>
    <t>Tay</t>
  </si>
  <si>
    <t>https://doi.org/10.1037/0021-9010.90.3.523</t>
  </si>
  <si>
    <t>Regressional study</t>
  </si>
  <si>
    <t>Smith-Jentsch</t>
  </si>
  <si>
    <t>https://doi.org/10.1037/0021-9010.85.5.724</t>
  </si>
  <si>
    <t>Steele-Johnson</t>
  </si>
  <si>
    <t>Hypothesis 1: Goal orientation and task difficulty interact in their effects on performance.</t>
  </si>
  <si>
    <t>In support of Hypothesis 1, results revealed a significant Task Difficulty X Goal Orientation X Trial Block
interaction effect, F(3, 193) = 3.35, p &lt; .05,</t>
  </si>
  <si>
    <t>F(3, 193) = 3.35</t>
  </si>
  <si>
    <t>Hypothesis 2: Goal orientation and task difficulty interact in their effects on intrinsic motivation.</t>
  </si>
  <si>
    <t>Results revealed only a significant trial block effect, F(3, 184) = 11.73, p &lt; .001, Wilks's lambda = .84. 
Participants' intrinsic motivation declined from Block 1 (M = 4.42, SD = 0.78) to Block 4 (M = 4.20, SD = 0.69). Thus,
this hypothesis was unsupported.</t>
  </si>
  <si>
    <t>F(3, 184) = 11.73</t>
  </si>
  <si>
    <t>Hypothesis 3: Goal orientation and task difficulty interact in their effects on satisfaction with performance.</t>
  </si>
  <si>
    <r>
      <t xml:space="preserve">Results revealed a significant Task Difficulty X Goal Orientation interaction effect, F(l, 186) = 5.14, p &lt; .05, providing
support for Hypothesis 3. </t>
    </r>
    <r>
      <rPr>
        <b/>
      </rPr>
      <t>ACTUAL TEST RESULT NOT REPORTED</t>
    </r>
  </si>
  <si>
    <t>not reported</t>
  </si>
  <si>
    <t>What do we do when they don't answer their hypothesis and they know it?</t>
  </si>
  <si>
    <t>Hypothesis 1: Goal orientation and task consistency interact in their effects on performance.</t>
  </si>
  <si>
    <t>The hypothesized interaction effect was not observed.</t>
  </si>
  <si>
    <t/>
  </si>
  <si>
    <t>Hypothesis 2: Goal orientation and task consistency interact in their effects on self-efficacy, self-set goals, 
and intrinsic motivation.</t>
  </si>
  <si>
    <t>Results revealed a significant Task Consistency X Goal Orientation interaction effect for intrinsic motivation, 
F(1, 185) = 5.91, p &lt; .05, providing support for our prediction.</t>
  </si>
  <si>
    <t>F(1, 185) = 5.91</t>
  </si>
  <si>
    <t>Hypothesis 3: Goal orientation and task consistency interact in their effects on satisfaction with performance.</t>
  </si>
  <si>
    <r>
      <t xml:space="preserve">Results revealed a significant effect only for task consistency, F(1, 185) = 5.66, p &lt; .05. Participants' satisfaction with
their performance was higher for those in the consistent (M = 5.36, SD = 1.23) than in the inconsistent 
(M = 4.95, SD = 1.10) task condition. Thus, Hypothesis 3 was not supported. </t>
    </r>
    <r>
      <rPr>
        <b/>
      </rPr>
      <t>ACTUAL RESULTS NOT REPORTED</t>
    </r>
  </si>
  <si>
    <t>https://doi.org/10.1037/apl0000079</t>
  </si>
  <si>
    <t>https://doi.org/10.1037//0021-9010.87.2.333</t>
  </si>
  <si>
    <t>Slaughter</t>
  </si>
  <si>
    <t>Hypothesis 1: There will be a significant effect of AAP content on perceptions of fairness</t>
  </si>
  <si>
    <t xml:space="preserve">Results of the ANCOVA supported Hypothesis 1, F(5, 1161) = 46.65, p &lt; .01, eta^2 = .17. </t>
  </si>
  <si>
    <t xml:space="preserve"> F(5, 1161) = 46.65</t>
  </si>
  <si>
    <t>p &lt; .01,</t>
  </si>
  <si>
    <t xml:space="preserve">eta^2 = .17. </t>
  </si>
  <si>
    <t>They just reported the means, not the actual results of the analyses</t>
  </si>
  <si>
    <t>Hypothesis 1a: The weak preferential treatment AAP will be viewed as significantly less fair than each of the 
other AAPs.</t>
  </si>
  <si>
    <t>Hypothesis1b:The training AAP will be viewed as significantly more fair than the weak preferential treatment 
AAP but will be viewed as significantly less fair than each of the other AAPs.</t>
  </si>
  <si>
    <t>Hypothesis1c:The control and eliminate discrimination AAPs will be viewed as significantly more fair than the
 training and weak preferential treatment AAPs.</t>
  </si>
  <si>
    <t>Hypothesis 1d: The recruitment and compensation AAPs will be viewed as significantly more fair than each 
of the other AAPs.</t>
  </si>
  <si>
    <t>Hypothesis2: Perceived fairness of the AAP will be positively related to job pursuit intentions</t>
  </si>
  <si>
    <t>Hypothesis 3: Perceived fairness will partially mediate the effect of AAP content on job pursuit intentions.
The effect of AAP content on job pursuit intentions will be partially explained by the effect of AAP content 
on perceived fairness and by a positive relation between perceived fairness and job pursuit intentions.</t>
  </si>
  <si>
    <t>Hypothesis 4: Previous experience with discrimination will interact with AAP content to affect job pursuit 
intentions. Those who have experienced relatively more discrimination at their internship sites will be more
 likely to pursue jobs at hypothetical organizations that have training and weak preferential treatment 
AAPs in place.</t>
  </si>
  <si>
    <t>https://doi.org/10.1037/apl0000182</t>
  </si>
  <si>
    <t>No stats</t>
  </si>
  <si>
    <t>Sheldon</t>
  </si>
  <si>
    <t>https://doi.org/10.1037/apl0000058</t>
  </si>
  <si>
    <t>Experimental / regression</t>
  </si>
  <si>
    <t>Johnson</t>
  </si>
  <si>
    <t xml:space="preserve"> https://doi.org/10.1037//0021-9010.86.6.1202</t>
  </si>
  <si>
    <t>Evaluation</t>
  </si>
  <si>
    <t>Lievens</t>
  </si>
  <si>
    <t xml:space="preserve"> https://doi.org/10.1037/a0038246</t>
  </si>
  <si>
    <t>Meta analysis</t>
  </si>
  <si>
    <t>Thomas</t>
  </si>
  <si>
    <t>https://doi.org/10.1037/0021-9010.92.3.616</t>
  </si>
  <si>
    <t>Dilchert</t>
  </si>
  <si>
    <t>https://doi.org/10.1037/a0014891</t>
  </si>
  <si>
    <t>Polynomial regression analyses</t>
  </si>
  <si>
    <t>Edwards</t>
  </si>
  <si>
    <t>https://doi.org/10.1037/apl0000286</t>
  </si>
  <si>
    <t>Article not found</t>
  </si>
  <si>
    <t>Booth</t>
  </si>
  <si>
    <t>https://doi.org/10.1037//0021-9010.85.4.542</t>
  </si>
  <si>
    <t>Explorative Experiment</t>
  </si>
  <si>
    <t>Smith</t>
  </si>
  <si>
    <t>https://doi.org/10.1037/a0037495</t>
  </si>
  <si>
    <t>Greco</t>
  </si>
  <si>
    <t>https://doi.org/10.1037/apl0000255</t>
  </si>
  <si>
    <t>Elfenbein</t>
  </si>
  <si>
    <t>https://doi.org/10.1037/a0033177</t>
  </si>
  <si>
    <t>experimental chi^2 / t-test</t>
  </si>
  <si>
    <t>yes</t>
  </si>
  <si>
    <t>Winterich</t>
  </si>
  <si>
    <r>
      <t xml:space="preserve">Hypothesis 1 (H1): There is a three-way interaction among </t>
    </r>
    <r>
      <rPr>
        <b/>
      </rPr>
      <t>moral identity symbolization, moral identity 
internalization, and recognition of prosocial behavior,</t>
    </r>
    <r>
      <t xml:space="preserve"> such that: (a) when prosocial behavior is expected to 
be recognized, there will be a two-way interaction of moral identity internalization and symbolization in which 
symbolization positively predicts prosocial behavior among people who are low but not high in internalization 
and (b) in the absence of recognition, there will be no two-way interaction between internalization and 
symbolization, and moral identity symbolization will be unrelated to prosocial behavior regardless of a person’s 
level of moral identity internalization.</t>
    </r>
  </si>
  <si>
    <r>
      <t>(b) in the absence of recognition,</t>
    </r>
    <r>
      <rPr>
        <b/>
      </rPr>
      <t xml:space="preserve"> there will be no two-way interaction </t>
    </r>
    <r>
      <t>between internalization and 
symbolization, and moral identity symbolization will be unrelated to prosocial behavior regardless of a person’s 
level of moral identity internalization.</t>
    </r>
  </si>
  <si>
    <t xml:space="preserve">Study 1 supports our hypothesis for a three-way interaction such that the proposed two-way interaction of
 symbolization and internalization occurred under recognition (Hypothesis 1a), but this pattern did not occur
 when there was no recognition (Hypothesis 1b). In our second study, we conducted a second test of 
Hypothesis 1 using a different sample and operationalization of prosocial behavior.
</t>
  </si>
  <si>
    <t>Step 3, the three-way interaction explained a significant amount of incremental variance in the dependent variable 
(R^2 = .02), F(1, 222) = 4.00, p &lt; .05.</t>
  </si>
  <si>
    <t>F(1, 222) = 4.00</t>
  </si>
  <si>
    <t>p &lt; .05.</t>
  </si>
  <si>
    <t>https://doi.org/10.1037/0021-9010.89.2.293</t>
  </si>
  <si>
    <t>Epitropaki</t>
  </si>
  <si>
    <t>https://doi.org/10.1037/a0022741</t>
  </si>
  <si>
    <t xml:space="preserve">experimental </t>
  </si>
  <si>
    <t>Sauer</t>
  </si>
  <si>
    <t>Hypothesis 1: New leader status and leadership style interact, such that low-status leaders who use a directive
leadership style will be perceived as more effective than low-status leaders who use a participative leadership 
style, whereas high-status leaders who use a participative leadership style will be perceived as more effective
than high-status leaders who use a directive leadership style.</t>
  </si>
  <si>
    <t>Hypothesis 1 predicted that new leader status leaders would moderate the effect of leadership style on perceptions
 of effectiveness. A 2 (leader status) x 2 (leadership style) ANOVA revealed a significant interaction between leader 
status and leadership style (see Table 1) in support of this hypothesis
F(1, 64) = 4,47, p &lt; .05</t>
  </si>
  <si>
    <t>F(1, 64) = 4.47</t>
  </si>
  <si>
    <t xml:space="preserve"> In Hypothesis 1, I predicted that an incoming leader’s status will moderate the effects of leadership style on 
subordinates’ assessments of the new leader’s effectiveness. HLM analysis, controlling for team assignment, 
provides support for this hypothesis, revealing that leader status and leader style interacted to affect perceptions 
of effectiveness (see Table 2). 
 F(1, 50) = 5.73, p &lt; .05</t>
  </si>
  <si>
    <t xml:space="preserve"> F(1, 50) = 5.73</t>
  </si>
  <si>
    <t xml:space="preserve">Reports wrong N (see Table 2 for right n) </t>
  </si>
  <si>
    <t>Hypothesis 2: New leader status and leadership style interact, such that low-status leaders who use a directive 
leadership style will be perceived as more self-confident than low-status leaders who use a participative 
leadership style, whereas high-status leaders who use a participative leadership style will be perceived as 
more self-confident than high-status leaders who use a directive leadership style</t>
  </si>
  <si>
    <t xml:space="preserve"> As seen in Table 2, HLM analysis also revealed a significant interaction of leader status and style on team members’ 
perceptions of the leader’s self-confidence, supporting Hypothesis 2. Low-status leaders who used a directive style 
were seen as more self-confident (M _x0003_ 4.76, SD _x0003_ 1.12) than low-status leaders who used a participative style 
(M = 4.01, SD = 1.45), whereas high-status leaders who used a directive style were perceived to be less 
self-confident (M = 4.44, SD = 1.25) than high-status leaders who used a participative style (M 0 4.68, SD = 1.19),
 F(1, 50) = 5.0, p &lt;  .05.</t>
  </si>
  <si>
    <t xml:space="preserve"> F(1, 50) = 5.0</t>
  </si>
  <si>
    <t>p &lt;  .05.</t>
  </si>
  <si>
    <t>Hypothesis 3: Leader self-confidence mediates the interactive effect of leader status and leadership style 
on leadership effectiveness</t>
  </si>
  <si>
    <t xml:space="preserve">Hypothesis 4: New leader status and leadership style interact, such that teams that are led by low-status 
leaders who use a directive leadership style will perform better than teams led by low-status leaders who use 
a participative leadership style, whereas teams that are led by high-status leaders who use a participative 
leadership style will perform better than teams led by high-status leaders who use a directive leadership style.
</t>
  </si>
  <si>
    <t xml:space="preserve">Team performance. Using a performance measure of mouse clicks per level (smaller numbers indicate better 
performance), ANOVA revealed that teams led by low-status leaders who used a directive style (M = 108.9, SD = 31.3) 
performed better than teams led by low-status leaders who used a participative style (M = 126.0, SD = 31.4), 
whereas teams led by high-status leaders who used a directive style (M = 119.3, SD = 19.1) performed worse than 
teams led by high-status leaders who used a participative style (M = 92.5, SD = 12.8), F(1, 50) = 10.19, p &lt; .01. 
This provides support for Hypothesis 4. </t>
  </si>
  <si>
    <t xml:space="preserve"> F(1, 50) = 10.19</t>
  </si>
  <si>
    <t xml:space="preserve"> p &lt; .01</t>
  </si>
  <si>
    <t>Reports wrong N (see Table 2 for right n)</t>
  </si>
  <si>
    <t>https://doi.org/10.1037/0021-9010.88.1.170</t>
  </si>
  <si>
    <t>Hofmann</t>
  </si>
  <si>
    <t>https://doi.org/10.1037/0021-9010.88.1.50</t>
  </si>
  <si>
    <t>Scullen</t>
  </si>
  <si>
    <t>https://doi.org/10.1037/a0021196</t>
  </si>
  <si>
    <t>Van Iddekinge</t>
  </si>
  <si>
    <t>https://doi.org/10.1037/0021-9010.91.6.1189</t>
  </si>
  <si>
    <t>Proposition</t>
  </si>
  <si>
    <t>Burke</t>
  </si>
  <si>
    <t>https://doi.org/10.1037//0021-9010.85.6.971</t>
  </si>
  <si>
    <t>Marks</t>
  </si>
  <si>
    <t>Accordingly, we hypothesize that the quality of team communication processes is positively associated with 
coordinated team performance in all environments (Hypothesis 1a) and that this relationship is most pronounced 
in novel environments (Hypothesis 1b).</t>
  </si>
  <si>
    <t>Hypothesis la predicted that team communication quality would relate positively to team performance.  The results of
 the RMMR analysis reveal a significant linear effect for communication processes, such that teams with higher 
quality communication performed better, R^2_within-team = .128, ]8 = .227, F(2, 117) = 23.48, p &lt; .01.</t>
  </si>
  <si>
    <t>F(2, 117) = 23.48</t>
  </si>
  <si>
    <t>Furthermore, as we hypothesized (Hypothesis Ib), a significant multiplicative relationship between environmental 
novelty and processes indicates that the relationship between communication processes and team performance 
showed a more positive slope in the two novel environments than in the routine setting,
R^2_within-team = -239' F(2,115) = 34.32, p &lt; .01</t>
  </si>
  <si>
    <t>F(2,115) = 34.32</t>
  </si>
  <si>
    <t>Accordingly, we hypothesize that mental model similarity is positively associated with team communication 
processes (Hypothesis 2a) and performance (Hypothesis 3a) in all environments and is even more pronounced 
(i.e., stronger) in novel environments (Hypotheses 2b and 3b, respectively).</t>
  </si>
  <si>
    <r>
      <t xml:space="preserve">Hypothesis 2a, a significant linear effect was found for the influence of mental model similarity on communication
 processes, R^2_within-team =  -650, </t>
    </r>
    <r>
      <rPr>
        <i/>
      </rPr>
      <t>Beta</t>
    </r>
    <r>
      <t xml:space="preserve"> = .349, F(l, 117) = 263.09, p &lt; .01. </t>
    </r>
  </si>
  <si>
    <t xml:space="preserve"> F(1, 117) = 263.09</t>
  </si>
  <si>
    <t xml:space="preserve">p &lt; .01. </t>
  </si>
  <si>
    <t>not directed in any results</t>
  </si>
  <si>
    <t xml:space="preserve">Reversing the order of entry yielded the same pattern of significance for accuracy as Step 2,
 R^2_within-team = .176, ft = .272, F(1, 155) = 46.53, p &lt; .01, and similarity as Step 3, 
R^2_within-team = -030, ft = .129, F(1, 154) = 8.36, p &lt; .01.  Thus, both Hypothesis 3a and Hypothesis 5a were 
supported, as mental model similarity and accuracy each had significant positive unique relationships with team 
performance. </t>
  </si>
  <si>
    <t>F(1, 155) = 46.53</t>
  </si>
  <si>
    <t xml:space="preserve">In support of Hypothesis 3b, the similarity-team performance slopes were steeper in both novel environments than in
 the routine environment. Alternatively, the accuracy-team performance relationship (see Figure 6) indicates a different 
pattern, in that teams in routine environments had somewhat stronger relationships between accurate mental models 
and performance than did teams in both novel environments. </t>
  </si>
  <si>
    <t>Following this logic, we hypothesize that mental model accuracy is positively associated with team communication
processes (Hypothesis 4a) and performance (Hypothesis 5a) in all environments and, in particular, in novel 
settings (Hypotheses 4b and 5b, respectively)</t>
  </si>
  <si>
    <t>Thus, although the overlapping variance in similar and accurate mental models, as well as the unique variability in 
similar mental models, both predicted communication, the linear effect of accuracy on communication processes 
(Hypothesis 4a) was not supported</t>
  </si>
  <si>
    <t xml:space="preserve">This effect was consistent across environments, as there were no significant two- or three-way multiplicative 
relationships for mental-model similarity, accuracy, and environment. Therefore, Hypotheses 4b and 6b were not
 supported. </t>
  </si>
  <si>
    <t>5a</t>
  </si>
  <si>
    <t xml:space="preserve">Reversing the order of entry yielded the same pattern of significance for accuracy as Step 2,R^2_within-team = .176, 
eta^2 = .272 , F(1, 155) = 46.53, p &lt; .01, and similarity as Step 3, eta^2 = -030, ft = .129, F(l, 154) = 8.36, p &lt; .01. 
Thus, both Hypothesis 3a and Hypothesis 5a were supported, as mental model similarity and accuracy each had
 significant positive unique relationships with team performance. </t>
  </si>
  <si>
    <t>F(1, 154) = 8.36</t>
  </si>
  <si>
    <t>5b</t>
  </si>
  <si>
    <t>lthough a significant interaction was evident, these findings are inconsistent with those predicted by Hypothesis 5b</t>
  </si>
  <si>
    <t>Therefore, we hypothesize that members' mental model similarity and accuracy show a multiplicative relationship 
with team communication processes (Hypothesis 6a) and performance (Hypothesis 7a) and that these findings 
are most pronounced in novel circumstances (Hypotheses 6b and 7b, respectively).</t>
  </si>
  <si>
    <t xml:space="preserve">The next step in these RMMR analyses confirmed the predicted multiplicative relationship (Hypothesis 6a) 
between similar and accurate mental models on team communication processes, 
R^2_within-team = -077, |3 = .534, F(l, 115) = 43.25, p &lt; .01. </t>
  </si>
  <si>
    <t>F(l, 115) = 43.25</t>
  </si>
  <si>
    <t xml:space="preserve">This effect was consistent across environments, as there were no significant two- or three-way multiplicative 
relationships for mental-model similarity, accuracy, and environment. Therefore, Hypotheses 4b and 6b were not
 supported. </t>
  </si>
  <si>
    <t xml:space="preserve">Adding the crossproduct of similarity and accuracy (Hypothesis 7a) to the equation also produced a significant
 relationship, R^2_within-team = -028, ft = -.449, F(1, 153) = 8.01, p &lt; .01. </t>
  </si>
  <si>
    <t xml:space="preserve"> F(1, 153) = 8.01</t>
  </si>
  <si>
    <t>p &lt; .01.</t>
  </si>
  <si>
    <t>No support was found for Hypothesis 7b, which predicted that the multiplicative effect of similarity and accuracy on 
performance would be more pronounced in novel environments</t>
  </si>
  <si>
    <t xml:space="preserve">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t>
  </si>
  <si>
    <r>
      <t>Hypotheses 8a and 10a dealt with the impact of team-interaction training and leader briefing on mental model similarity. 
Both main effects were significant and in the anticipated directions,</t>
    </r>
    <r>
      <rPr>
        <b/>
      </rPr>
      <t xml:space="preserve"> F(1, 72) = 11.75, p &lt; .01, eta^2 = .091</t>
    </r>
    <r>
      <t>, 
and F(1, 72) = 7.25, p &lt; .01, eta^2 = .140, respectively.</t>
    </r>
  </si>
  <si>
    <t>F(1, 72) = 11.75</t>
  </si>
  <si>
    <t>eta^2 = .091</t>
  </si>
  <si>
    <t>Moreover, we expect that these influences will be stronger when teams Moreover,
we expect that these influences will be stronger when teams confront novel, as compared with familiar,
 environments (Hypotheses 8b and 9b, respectively).</t>
  </si>
  <si>
    <t>Hypotheses 8b and 10b were not supported, in that there were no significant interactions between enhanced leader 
briefings or team-interaction training and environmental novelty.</t>
  </si>
  <si>
    <t>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Moreover, we expect that these influences will be stronger when teams.</t>
  </si>
  <si>
    <r>
      <t xml:space="preserve">In support of both hypotheses, both team-interaction training, </t>
    </r>
    <r>
      <rPr>
        <b/>
      </rPr>
      <t>F(1, 74) = 24.42, p &lt; .01; eta^2 = .248</t>
    </r>
    <r>
      <t>, and leader 
briefings, F(1, 74) = 16.74, p &lt; .01, eta^2 = .184, had significant main effects on the development of accurate mental 
models in the expected directions.</t>
    </r>
  </si>
  <si>
    <t>F(1, 74) = 24.42</t>
  </si>
  <si>
    <t>eta^2 = .248</t>
  </si>
  <si>
    <t>eta^2 typo corrected from 18.4 to .184</t>
  </si>
  <si>
    <t xml:space="preserve">No support was found for Hypotheses 9b or 11b, which predicted a more pronounced effect of each of the manipulations,
respectively, on mental model accuracy in novel environments. </t>
  </si>
  <si>
    <t>Therefore, we hypothesize that teams who receive team-interaction training develop more similar 
(Hypothesis 10a) and accurate (Hypothesis 11 a) mental models than do teams that receive no team-interaction
training (i.e., controls) in all environments and that these effects are particularly acute in novel environments 
(Hypotheses 10b and 11b, respectively).</t>
  </si>
  <si>
    <r>
      <t>Hypotheses 8a and 10a dealt with the impact of team-interaction training and leader briefing on mental model similarity. 
Both main effects were significant and in the anticipated directions,</t>
    </r>
    <r>
      <rPr>
        <b/>
      </rPr>
      <t xml:space="preserve"> </t>
    </r>
    <r>
      <t xml:space="preserve">F(1, 72) = 11.75, p &lt; .01, eta^2 = .091, 
and </t>
    </r>
    <r>
      <rPr>
        <b/>
      </rPr>
      <t>F(1, 72) = 7.25, p &lt; .01, eta^2 = .140</t>
    </r>
    <r>
      <t>, respectively.</t>
    </r>
  </si>
  <si>
    <t>F(1, 72) = 7.25</t>
  </si>
  <si>
    <t>eta^2 = .140</t>
  </si>
  <si>
    <r>
      <t xml:space="preserve">and leader briefings, </t>
    </r>
    <r>
      <rPr>
        <b/>
      </rPr>
      <t>F(1, 74) = 16.74, p &lt; .01, eta^2 = .184</t>
    </r>
    <r>
      <t>, had significant main effects on the development of 
accurate mental models in the expected directions.</t>
    </r>
  </si>
  <si>
    <t>F(1, 74) = 16.74</t>
  </si>
  <si>
    <t>eta^2 = .184</t>
  </si>
  <si>
    <t>No support was found for Hypotheses 9b or 11b, which predicted a more pronounced effect of each of the manipulations,
respectively, on mental model accuracy in novel environments.</t>
  </si>
  <si>
    <t>https://doi.org/10.1037/0021-9010.89.2.187</t>
  </si>
  <si>
    <t>Oswald</t>
  </si>
  <si>
    <t>https://doi.org/10.1037/0021-9010.93.2.280</t>
  </si>
  <si>
    <t>Sitzmann</t>
  </si>
  <si>
    <t>https://doi.org/10.1037//0021-9010.87.2.411</t>
  </si>
  <si>
    <t>Stern</t>
  </si>
  <si>
    <t>Hypothesis 1A: Synthesized speech will be rated less favorably than human speech.</t>
  </si>
  <si>
    <t xml:space="preserve">found support for Hypothesis 1A. For all of the dependent variables except for one (perception of the message as 
simple), human speech was perceived significantly more favorably than computer-synthesized speech. </t>
  </si>
  <si>
    <t>With each hypothesis, they report 22 variables with a significant F test on each</t>
  </si>
  <si>
    <t>Hypothesis 1B: Synthesized speech will be rated less favorably than human speech with this effect minimized 
when participants are led to believe that the person delivering the persuasive appeal is disabled.</t>
  </si>
  <si>
    <t>Hypothesis 2A: Synthesized speech will be less persuasive than human speech.</t>
  </si>
  <si>
    <t>More specifically, we expected that the shift would be more pronounced for human speech. We did find support
for this hypothesis, F(3, 185) = 5.36, p &lt; .001, eta^2 =  .17 (see Table 3 for the means for all conditions).</t>
  </si>
  <si>
    <t>F(3, 185) = 5.36</t>
  </si>
  <si>
    <t>eta^2 = .17</t>
  </si>
  <si>
    <t>Hypothesis 2B: Synthesized speech will be less persuasive than human speech with this effect minimized when 
participants are led to believe that the person delivering the persuasive appeal is disabled.</t>
  </si>
  <si>
    <t>There was no support for Hypothesis 2B, that there would be a differential effect due to disability for persuasion</t>
  </si>
  <si>
    <t>https://doi.org/10.1037/a0034284</t>
  </si>
  <si>
    <t>https://doi.org/10.1037/0021-9010-93.3.685</t>
  </si>
  <si>
    <t>https://doi.org/10.1037/apl0000068</t>
  </si>
  <si>
    <t>https://doi.org/10.1037//0021-9010.85.5.643</t>
  </si>
  <si>
    <t>inter-Correlation</t>
  </si>
  <si>
    <t>Robert</t>
  </si>
  <si>
    <t>https://doi.org/10.1037/0021-9010.90.1.182</t>
  </si>
  <si>
    <t>Cortina</t>
  </si>
  <si>
    <t>In short, because powerless standing can breed powerless behavior (Kanter, 1977; Ragins &amp; Sundstrom, 1989), 
we expected that women with lower social power (i.e., younger, less educated, unmarried/unpartnered)
would have coping profiles characterized by low negotiation/ confrontation and advocacy seeking (Hypothesis 1).</t>
  </si>
  <si>
    <t xml:space="preserve">Individual level: Social power (Hypothesis 1). For the working-class women, only age related significantly to 
coping profile, F(2, 379) = 5.01, p &lt; .01, eta^2 = .03. </t>
  </si>
  <si>
    <t xml:space="preserve"> F(2, 379) = 5.01</t>
  </si>
  <si>
    <t>eta^2 = .03.</t>
  </si>
  <si>
    <t>Coping did not vary according to education, F(2, 379) = 0.76, ns</t>
  </si>
  <si>
    <t>F(2, 379) = 0.76</t>
  </si>
  <si>
    <t>Parallel analyses of the professionals’ data also showed age to be the only significant predictor,
 F(2, 141) = 7.84, p &lt; .001, eta^2 =  .10,</t>
  </si>
  <si>
    <t>F(2, 141) = 7.84</t>
  </si>
  <si>
    <t>eta^2 =  .10,</t>
  </si>
  <si>
    <t xml:space="preserve">Microcontext: Stressor severity (Hypothesis 2). Unwanted sexual attention frequency,
 F(2, 376) = 6.20, p &lt; .01, eta^2 = .03, </t>
  </si>
  <si>
    <t>F(2, 376) = 6.20</t>
  </si>
  <si>
    <t>eta^2 = .03,</t>
  </si>
  <si>
    <r>
      <t xml:space="preserve">Thus, we predicted that women facing severe </t>
    </r>
    <r>
      <rPr>
        <b/>
      </rPr>
      <t>sexual harassment</t>
    </r>
    <r>
      <t xml:space="preserve"> (as indicated by harassment frequency,
harassment type, and perpetrator status) would have </t>
    </r>
    <r>
      <rPr>
        <b/>
      </rPr>
      <t>coping profiles</t>
    </r>
    <r>
      <t xml:space="preserve"> characterized by a range of </t>
    </r>
    <r>
      <rPr>
        <b/>
      </rPr>
      <t>coping efforts</t>
    </r>
    <r>
      <t xml:space="preserve">, 
particularly </t>
    </r>
    <r>
      <rPr>
        <b/>
      </rPr>
      <t>social coping</t>
    </r>
    <r>
      <t xml:space="preserve"> and formal</t>
    </r>
    <r>
      <rPr>
        <b/>
      </rPr>
      <t xml:space="preserve"> support/advocacy seeking</t>
    </r>
    <r>
      <t xml:space="preserve"> (Hypothesis 2).</t>
    </r>
  </si>
  <si>
    <t xml:space="preserve">Coping profiles did not vary by gender harassment frequency, F(2, 370) = 2.30, ns. </t>
  </si>
  <si>
    <t>No answer to the question, we need a dummy coding/ weighting of those articles / hypotheses</t>
  </si>
  <si>
    <t>We therefore expected that women working in more female-integrated environments would have coping profiles 
characterized by high social coping and advocacy seeking (Hypothesis 3).</t>
  </si>
  <si>
    <t>Therefore, we proposed that women who perceived leadership intolerance of sexual harassment would have 
coping profiles characterized by high advocacy seeking (Hypothesis 4).</t>
  </si>
  <si>
    <t>In sum, we expected that Turkish and Hispanic women would be more likely than Anglo women to have coping 
profiles characterized by low negotiation/confrontation and advocacy seeking and high social coping and 
avoidance/ denial (Hypothesis 5).</t>
  </si>
  <si>
    <t>chi^2 results</t>
  </si>
  <si>
    <t>https://doi.org/10.1037//0021-9010.85.1.30</t>
  </si>
  <si>
    <t>Seymour</t>
  </si>
  <si>
    <t xml:space="preserve">Our goal in this study was to examine the feasibility of detecting guilty knowledge using only RT measures.
initially, we attempted to replicate the success of Farwell and Donchin's (1991) ERP paradigm using RT alone.
Using the same test items, we designed a modified procedure to allow all testing to occur within a single session.
In an additional set of experiments, we examined guilty participants' ability to avoid detection by strategically 
manipulating their RTs.
</t>
  </si>
  <si>
    <t>As expected, mean RTs for probe items were slower in the guilty condition than in the innocent condition. 
No reliable difference was observed for irrelevant items by condition. A contrast ANOVA on the interaction with 
this pattern was reliable, F(1, 26) = 64.90, p &lt; .0001, eta^2 = .71.</t>
  </si>
  <si>
    <t>F(1, 26) = 64.90</t>
  </si>
  <si>
    <t>p &lt; .0001</t>
  </si>
  <si>
    <t>eta^2 = .71</t>
  </si>
  <si>
    <t>The goal of Experiment 2a was to examine whether such advance warning of the appearance of probe category 
test items is sufficient for participants to strategically mask their knowledge of the crime. If the guilty knowledge 
effect is driven primarily by surprise, the warning will allow participants to choose a response strategy that may 
attenuate the effect.</t>
  </si>
  <si>
    <t>ANOVA revealed a main effect of guilt, F(1, 10) = 53.07, p &lt; .0001; a main effect of stimulus type, 
F(1, 10) = 42.45, p &lt; .0001; and a Guilt X Stimulus Type interaction, F(1, 10) = 50.99, p &lt; .0001, eta^2 = .84.</t>
  </si>
  <si>
    <t>F(1, 10) = 50.99</t>
  </si>
  <si>
    <t>eta^2 = .84</t>
  </si>
  <si>
    <t>Very low n !</t>
  </si>
  <si>
    <t>Experiment 2b was designed to test whether more explicit knowledge of the test would aid participants in 
appearing innocent during guilty blocks</t>
  </si>
  <si>
    <t>The same guilty knowledge effect, wherein the only reliable difference as a function of guilt versus innocence involved 
probe items, was demonstrated with a contrast ANOVA on the interaction with this pattern, 
F(1, 13) = 36.26, p &lt; .0001, eta^2 = .74</t>
  </si>
  <si>
    <t>F(1, 13) = 36.26</t>
  </si>
  <si>
    <t>eta^2 = .74</t>
  </si>
  <si>
    <t>https://doi.org/10.1037/0021-9010.90.1.175</t>
  </si>
  <si>
    <t>https://doi.org/10.1037/0021-9010.93.2.328</t>
  </si>
  <si>
    <t>Correction</t>
  </si>
  <si>
    <t>https://doi.org/10.1037/0021-9010.85.6.956</t>
  </si>
  <si>
    <t>https://doi.org/10.1037/0021-9010.86.4.789</t>
  </si>
  <si>
    <t>Tepper</t>
  </si>
  <si>
    <t>https://doi.org/10.1037/apl0000055</t>
  </si>
  <si>
    <t>Ali</t>
  </si>
  <si>
    <t>https://doi.org/10.1037/0021-9010.88.5.795</t>
  </si>
  <si>
    <t>Correlation</t>
  </si>
  <si>
    <t>Peterson</t>
  </si>
  <si>
    <t xml:space="preserve"> https://doi.org/10.1037/apl0000096</t>
  </si>
  <si>
    <t>Loschelder</t>
  </si>
  <si>
    <t>Hypothesis 1: First offers that do not reveal integrative priorities will improve a sender’s negotiation outcomes 
(H1: Firstmover advantage).</t>
  </si>
  <si>
    <t>In line with our hypotheses, senders claimed more value in the uninformative condition (M = 4.995, SD = 800.63) 
than in the informative condition (M = 4.555, SD = 828.33), t(78) = 2.42, p = .018, d = .54.</t>
  </si>
  <si>
    <t>t(78) = 2.42</t>
  </si>
  <si>
    <t>p = .018</t>
  </si>
  <si>
    <t>d = .54</t>
  </si>
  <si>
    <t>Hypothesis 2: First offers that reveal integrative priorities will impair a sender’s negotiation outcomes 
(H2: First-mover disadvantage).</t>
  </si>
  <si>
    <t xml:space="preserve">However, there was a first-mover disadvantage in the informative condition,assenders claimed significantly less 
value than recipients, t(39)= 3.76, p &lt; .001, d = 1.09 (Figure 2). </t>
  </si>
  <si>
    <t xml:space="preserve"> t(39) = 3.76</t>
  </si>
  <si>
    <t>d = 1.09</t>
  </si>
  <si>
    <t>Hypothesis 3: This first-mover disadvantage will emerge when the sender faces a proself opponent but not when 
the sender faces a prosocial opponent (H3: Moderation).</t>
  </si>
  <si>
    <t xml:space="preserve">In the informative condition, the predicted first-mover disadvantage emerged when senders revealed their priorities to
 proself opponents (M_sender = 4,320, SD = 888.82 vs. M_recipient = 5,600, SD = 663.33), 
t(24) = 4.42, p &lt; .001, d = 1.63. </t>
  </si>
  <si>
    <t>t(24) = 4.42</t>
  </si>
  <si>
    <t>d = 1.63</t>
  </si>
  <si>
    <t>However, when facing a prosocial counterpart, senders secured an equally large
 share of profits (M = 4,947, SD = 542.31) as recipients (M = 5,053, SD = 625.49), t = 0.41, p = .690.</t>
  </si>
  <si>
    <t>t(24) = 0.41</t>
  </si>
  <si>
    <t>p = .690</t>
  </si>
  <si>
    <r>
      <t>Hypothesis 4: Proself but not prosocial recipients will create a first-mover disadvantage by exploiting integrative 
insight (</t>
    </r>
    <r>
      <rPr>
        <b/>
      </rPr>
      <t>H4: Moderated mediation).</t>
    </r>
  </si>
  <si>
    <t>H1 with manipulation</t>
  </si>
  <si>
    <t>A 2 (First offer: informative vs. uninformative) x 2 (Recipient SVO: proself vs. prosocial) x 2 (Role: sender
vs. recipient) ANOVA on individual profits revealed a strong three-way interaction effect, 
F(1,64) = 7.81, p = .007, eta^2 = .11.</t>
  </si>
  <si>
    <t>F(1,64) = 7.81</t>
  </si>
  <si>
    <t xml:space="preserve"> p = .007</t>
  </si>
  <si>
    <t>eta^2 = .11.</t>
  </si>
  <si>
    <t>H2 with manipulation</t>
  </si>
  <si>
    <t>In line with this prediction, recipients showed better integrative insight when they received informative 
(M = -0.65; SD = 1.28) rather than uninformative first offers (M = -2.56; SD = 1.47), 
F(1, 53) = 25.49, p &lt; .001, eta^2 = .33.</t>
  </si>
  <si>
    <t>F(1, 53) = 25.49</t>
  </si>
  <si>
    <t>eta^2 = 0.33</t>
  </si>
  <si>
    <t>H3 with manipulation</t>
  </si>
  <si>
    <r>
      <t>When facing a proself recipient, senders claimed less value in the informative (M = 2,261.11, SD = 347.49) than in the
uninformative condition (M = 2,528.13, SD = 420.70),</t>
    </r>
    <r>
      <rPr>
        <b/>
      </rPr>
      <t xml:space="preserve"> t(32) = 2.03, p = .050, d = 0.69</t>
    </r>
    <r>
      <t xml:space="preserve"> (Figure 4, Top Panel). 
In turn, proself recipients claimed more value in the informative (M = 2,495.56, SD = 287.59) than in the uninformative 
condition (M = 2,115.63, SD = 480.18), t(32) = 2.84, p = .008, d = 0.96  than in the uninformative condition 
(M = 2,115.63, SD = 480.18), t(32) = 2.84, p = .008, d = 0.96</t>
    </r>
  </si>
  <si>
    <t>t(32) = 2.03</t>
  </si>
  <si>
    <t>p = .050</t>
  </si>
  <si>
    <t xml:space="preserve"> d = 0.69</t>
  </si>
  <si>
    <r>
      <t>In the condition with prosocial recipients (Figure 4, Bottom Panel) a first-mover advantage emerged: senders
claimed more value than recipients in both the uninformative condition (Msender = 2,475.00, SD = 343.10 vs. 
Mrecipient = 2,119.44, SD = 326.81), t(17) = 2.60, p = .019, d = 1.41, and the informative condition
 (Msender = 2,625.00, SD = 410.28 vs. Mrecipient = 1,984.38, SD = 379.35),</t>
    </r>
    <r>
      <rPr>
        <b/>
      </rPr>
      <t xml:space="preserve"> t(16) = 3.38, p = .004, d = 1.55</t>
    </r>
  </si>
  <si>
    <t>t(16) = 3.38</t>
  </si>
  <si>
    <t>p = .004</t>
  </si>
  <si>
    <t>d = 1.55</t>
  </si>
  <si>
    <t>https://doi.org/10.1037/a0017975</t>
  </si>
  <si>
    <t>Motowidlo</t>
  </si>
  <si>
    <t>https://doi.org/10.1037/apl0000092</t>
  </si>
  <si>
    <t>Model testing with CI</t>
  </si>
  <si>
    <t>Lee</t>
  </si>
  <si>
    <t>https://doi.org/10.1037//0021-9010.85.4.597</t>
  </si>
  <si>
    <t>Kravitz</t>
  </si>
  <si>
    <t>Hypothesis 1a: Whites express less favorable attitudes than either Blacks or Hispanics toward both AAPs</t>
  </si>
  <si>
    <t>Not reported</t>
  </si>
  <si>
    <t>Hypothesis 1b: Blacks express more favorable attitudes than either Whites or Hispanics toward both AAPs.</t>
  </si>
  <si>
    <t xml:space="preserve">Not reported </t>
  </si>
  <si>
    <t>Hypothesis 2a: Attitudes toward both AAPs are more positive among Democrats than among Republicans 
or Independents</t>
  </si>
  <si>
    <t>Hypothesis 2b: Support for the view that government should be responsible for ensuring equal opportunity in the
workplace is positively associated with attitudes toward both versions of affirmative action</t>
  </si>
  <si>
    <t>Hypothesis 3a: Among Blacks, the relation between personal experience with workplace discrimination and 
support for both AAPs is positive</t>
  </si>
  <si>
    <t>Hypothesis 3b: Among Hispanics, the relation between personal experience with workplace discrimination and 
support for a self-defined typical affirmative action plan that targets minorities and women is positive.</t>
  </si>
  <si>
    <t>3c</t>
  </si>
  <si>
    <t>Hypothesis 3c: Among Whites, the relation between personal experience with workplace discrimination and 
support for both AAPs is negative.</t>
  </si>
  <si>
    <t>Hypothesis 4: Attitudes toward the self-defined typical AAP are negatively related to beliefs about the frequency
with which that AAP entails strong preferential treatment.</t>
  </si>
  <si>
    <t>Hypothesis 5a: Whites express less opposition to Tiebreak than to the Typical AAP as they construe it.</t>
  </si>
  <si>
    <t xml:space="preserve"> Paired t tests revealed, as Hypothesis 5a predicted, that Whites were less opposed to Tiebreak than to 
Typical, t(359) = -5.73, p &lt; .001,</t>
  </si>
  <si>
    <t xml:space="preserve"> t(359) = 5.73</t>
  </si>
  <si>
    <t>Hypothesis 5b: Hispanics express less support for Tiebreak than for Typical.</t>
  </si>
  <si>
    <t xml:space="preserve"> whereas the opposite was true (Hypothesis 5b) for the Hispanic immigrants, t(154) = 4.97, p &lt; .001</t>
  </si>
  <si>
    <t>t(154) = 4.97</t>
  </si>
  <si>
    <t>Hypothesis 6: Attitudes toward both AAPs are positively related to the perceived fairness of affirmative action 
policies in general.</t>
  </si>
  <si>
    <t>Hypothesis 7a: Attitudes toward the self-defined Typical AAP are positively related to beliefs about the prevalence 
of workplace discrimination experienced by Blacks and Hispanics.</t>
  </si>
  <si>
    <t>Hypothesis 7b: Attitudes toward Tiebreak are positively related to beliefs about the prevalence of workplace 
discrimination experienced by Blacks.</t>
  </si>
  <si>
    <t>7c</t>
  </si>
  <si>
    <t>Hypothesis 7c: Attitudes toward both AAPs are negatively related to beliefs about the prevalence of workplace
discrimination experienced by Whites.</t>
  </si>
  <si>
    <t>https://doi.org/10.1037/0021-9010.87.2.304</t>
  </si>
  <si>
    <t>Chi^2</t>
  </si>
  <si>
    <t>Turner</t>
  </si>
  <si>
    <t xml:space="preserve"> https://doi.org/10.1037/a0014075</t>
  </si>
  <si>
    <t>Murphy</t>
  </si>
  <si>
    <t>https://doi.org/10.1037/0021-9010.92.1.259</t>
  </si>
  <si>
    <t>Velden</t>
  </si>
  <si>
    <t xml:space="preserve"> Hypothesis 1a (H1a) thus predicts that prosocial majorities engage in more problem solving than proself or mixed
(partly prosocial and partly proself) majorities, especially when majority rule applies.</t>
  </si>
  <si>
    <t>Consistent with H1a, the same ANOVA revealed a decision rule by majority’s social motivation interaction, 
F(2, 85) = 3.25, p &lt; .05, eta^2 = .07.</t>
  </si>
  <si>
    <t>F(2, 85) = 3.25</t>
  </si>
  <si>
    <t>eta^2 = 0.07</t>
  </si>
  <si>
    <t xml:space="preserve"> H1b predicts that joint outcomes will be higher and more equally distributed </t>
  </si>
  <si>
    <t>Although means were in the expected direction (see row 2 of Table 3), the interaction between decision rule and the 
majority’s social motivation was not significant, F(2, 85) = 1.39, eta^2 = .03. Thus, H1b received no support.</t>
  </si>
  <si>
    <t>F(2, 85) = 1.39</t>
  </si>
  <si>
    <t>(H1c) in groups with a prosocial rather than a proself or mixed majority, especially when majority rule applies.</t>
  </si>
  <si>
    <t>Consistent with H1c, these effects were qualified by a decision rule by the majority’s social motivation interaction, 
F(2, 85) = 4.01, p &lt; .05, eta^2 = .09.</t>
  </si>
  <si>
    <t>F(2, 85) = 4.01</t>
  </si>
  <si>
    <t xml:space="preserve"> Finally, H1d predicts that the effects on joint outcomes are mediated by the majority members’ problem solving.</t>
  </si>
  <si>
    <t xml:space="preserve">and this reduction was significant (z = 2.20, p &lt; .05). Thus, partial mediation was established, and H1d was supported. </t>
  </si>
  <si>
    <t xml:space="preserve"> z = 2.20</t>
  </si>
  <si>
    <t>We thus predict that prosocial minorities try to block a decision less than proself minorities, especially when
unanimity rule applies (H2a);</t>
  </si>
  <si>
    <t xml:space="preserve">Supporting H2a, this effect was qualified by a decision rule by minority’s social motivation interaction, 
F(1, 85) = 5.51, p &lt; .05, eta^2 = .06. </t>
  </si>
  <si>
    <t>F(1, 85) = 5.51</t>
  </si>
  <si>
    <t xml:space="preserve">eta^2 = .06. </t>
  </si>
  <si>
    <t>that especially under unanimity rule, groups with a prosocial minority reach higher joint outcomes (H2b) than 
groups with a proself minority;</t>
  </si>
  <si>
    <t xml:space="preserve"> Consistent with H2b, this effect was qualified by a decision rule by the minority’s social motivation interaction, 
F(1, 85) = 4.35, p &lt; .05, eta^2 = .05. </t>
  </si>
  <si>
    <t>F(1, 85) = 4.35</t>
  </si>
  <si>
    <t>eta^2 = .05.</t>
  </si>
  <si>
    <t>2c</t>
  </si>
  <si>
    <t>and that these effects are mediated by the minority’s decision blocking tendencies (H2c).</t>
  </si>
  <si>
    <t>and a Sobel test (Kenny et al., 1998) showed that the reduction in regression weight was significant (z = 1.97, p &lt; .05).
These results thus support H2c: Decision blocking by the minority mediates the interaction effect of decision rule and 
the minority’s social motivation on joint outcomes.</t>
  </si>
  <si>
    <t>z = 1.97</t>
  </si>
  <si>
    <t>https://doi.org/10.1037/0021-9010.85.5.708</t>
  </si>
  <si>
    <t>Keeping</t>
  </si>
  <si>
    <t>https://doi.org/10.1037/0021-9010.89.6.1106</t>
  </si>
  <si>
    <t>Haw</t>
  </si>
  <si>
    <t xml:space="preserve"> https://doi.org/10.1037/ap10000305</t>
  </si>
  <si>
    <t xml:space="preserve"> https://doi.org/10.1037/a0023221</t>
  </si>
  <si>
    <t>Norcraft</t>
  </si>
  <si>
    <t>https://doi.org/10.1037/apl0000313</t>
  </si>
  <si>
    <t>Methods</t>
  </si>
  <si>
    <t>https://doi.org/10.1037/a0038298</t>
  </si>
  <si>
    <t>https://doi.org/10.1037//0021-9010.87.4.667</t>
  </si>
  <si>
    <t>Saad</t>
  </si>
  <si>
    <t>https://doi.org/10.1037/a0036635</t>
  </si>
  <si>
    <t>Method testing</t>
  </si>
  <si>
    <t xml:space="preserve">koopman </t>
  </si>
  <si>
    <t>https://doi.org/10.1037/0021-9010.92.4.928</t>
  </si>
  <si>
    <t>Schmidt</t>
  </si>
  <si>
    <t>Hypothesis 1: When all else is equivalent between the goals in conflict, greater time will be allocated to the goal 
with the largest discrepancy.</t>
  </si>
  <si>
    <t>Formulates the hypothesis in wrong direction, can't use results</t>
  </si>
  <si>
    <t>Hypothesis 2: With an external incentive associated with only one of the goals in conflict, 
(a) progress toward the goal associated with the incentive will have a larger influence on resource allocation
 than will progress toward the alternative goal</t>
  </si>
  <si>
    <t xml:space="preserve"> The sixth row of Table 1 demonstrates that, as hypothesized, participants in these two conditions spent significantly
 more time focused on the task associated with the incentive, F(1, 86) = 97.22, p &lt; .001</t>
  </si>
  <si>
    <t xml:space="preserve"> F(1, 86) = 97.22</t>
  </si>
  <si>
    <t xml:space="preserve">(b) resulting in greater time allocated to the pursuit of the goal associated with the incentive, </t>
  </si>
  <si>
    <r>
      <t xml:space="preserve"> decomposition analyses demonstrated that, as predicted, discrepancies for the rewarded task were a stronger 
predictor of resource allocation (</t>
    </r>
    <r>
      <rPr>
        <i/>
      </rPr>
      <t xml:space="preserve">y </t>
    </r>
    <r>
      <t>= .06), F(1, 86) = 27.03, p &lt; .001, R^2 = .24</t>
    </r>
  </si>
  <si>
    <t xml:space="preserve"> F(1, 86) = 27.03</t>
  </si>
  <si>
    <t>p &lt; .001,</t>
  </si>
  <si>
    <t>R^2 = .24</t>
  </si>
  <si>
    <t>(c) with little switching between tasks</t>
  </si>
  <si>
    <t xml:space="preserve"> Also as hypothesized, participants in these two conditions exhibited significantly less switching from one task to the 
other than did participants in the remaining conditions, F(1, 242) = 15.67, p &lt; .001, R^2 = .06</t>
  </si>
  <si>
    <t>F(1, 242) = 15.67</t>
  </si>
  <si>
    <t>R^2 = .06</t>
  </si>
  <si>
    <t xml:space="preserve">Hypothesis 3: With two competing goals associated with an approach-framed incentive and an avoidance-framed 
incentive, respectively, (a) progress toward the goal associated with the avoidance-framed incentive will have a 
larger influence on resource allocation than will progress toward the alternative goal, </t>
  </si>
  <si>
    <t>In fact, among participants in this condition, discrepancies for the avoidance-framed task were a significant
predictor of resource allocation (gamma = -.06), F(1, 37) = 8.86, p = .005, R^2 = .19,</t>
  </si>
  <si>
    <t>F(1, 37) = 8.86</t>
  </si>
  <si>
    <t>p = .005</t>
  </si>
  <si>
    <t>R^2 = .19,</t>
  </si>
  <si>
    <t>(b) resulting in greater time allocated to the pursuit of the goal associated with the avoidance-framed incentive.</t>
  </si>
  <si>
    <t>Table 1 demonstrates that, as hypothesized, participants in this condition spent significantly more time focused
on the task associated with the avoidance-framed incentive, F(1, 37) = 7.61, p &lt; .01</t>
  </si>
  <si>
    <t>F(1, 37) = 7.61</t>
  </si>
  <si>
    <t>Hypothesis 4: The relationship between relative discrepancies and prioritization will be moderated by the amount 
of time remaining to pursue the goals. Specifically, collapsed across condition, the tendency to allocate more time 
to the most discrepant goal is expected to reverse as the deadline for goal completion nears.</t>
  </si>
  <si>
    <t>This reversal in resource allocation strategies across time was particularly clear among participants with equal 
incentives (or lack thereof) for both tasks, as indicated by a significant three-way interaction between relative progress,
time remaining, and incentive structure on resource allocation, F(6, 244) = 2.30, p &lt; .05. Thus, it appears that the 
impending deadline led participants to revise their strategies for allocating time across the two competing tasks, 
supporting Hypothesis 4.</t>
  </si>
  <si>
    <t>F(6, 244) = 2.30</t>
  </si>
  <si>
    <t>https://doi.org/10.1037/a0021594</t>
  </si>
  <si>
    <t>Agerström</t>
  </si>
  <si>
    <t>https://doi.org/10.1037/0021-9010.92.1.1</t>
  </si>
  <si>
    <t>LeBreton</t>
  </si>
  <si>
    <t xml:space="preserve">Hypothesis 1: There will be a main effect for experimental condition such that (a) the mean scores on the 
CRT-A will be higher in the disclose-fake condition compared with the control condition and </t>
  </si>
  <si>
    <t>Results of these comparisons yield support for Hypothesis 1a, F(1, 548) = 2,707.57, p &lt; .001, indicating that the
mean difference between the control condition and the disclose fake condition was statistically significant 
(-14.20; 95% confidence interval for this difference ranged from -14.74 to -13.66).</t>
  </si>
  <si>
    <t xml:space="preserve"> F(1, 548) = 2707.57</t>
  </si>
  <si>
    <t>partial eta^2 = .83</t>
  </si>
  <si>
    <t>(b) the mean scores on the CRT-A will be lower in the disclose-logic condition compared with the control condition</t>
  </si>
  <si>
    <t>Although the planned comparison for Hypothesis 1b was statistically significant, F(1, 548) = 8.02, p &lt; .005, 
the pattern of mean differences was the opposite of that hypothesized (-0.87; 95% confidence interval for this difference 
ranged from -1.47 to -0.27).</t>
  </si>
  <si>
    <t xml:space="preserve">Hypothesis 2: When indirect measurement is maintained, scores obtained under normal testing instructions
and those obtained by asking respondents to fake good on the CRT-A will not be significantly different from 
one another.
</t>
  </si>
  <si>
    <t xml:space="preserve">As expected, the test for type of instructions was nonsignificant, F(1, 98) = 1.91, p &gt;.05 (partial eta^2 = .02), </t>
  </si>
  <si>
    <t>Hypothesis 3: There will not be significant mean differences on the CRT-A scores among job incumbents,
job applicants, and undergraduate students.</t>
  </si>
  <si>
    <t xml:space="preserve"> F(2, 948) = 0.80, p &gt; .05 (eta^2 = .002)</t>
  </si>
  <si>
    <t>F(2, 948) = 0.80</t>
  </si>
  <si>
    <t>eta^2 = .002</t>
  </si>
  <si>
    <t>https://doi.org/10.1037/0021-9010.91.1.185</t>
  </si>
  <si>
    <t>Porath</t>
  </si>
  <si>
    <t>Hypothesis 2: Learning and performance-prove goal orientations but not performance-avoid orientation will
 positively predict the four specific SR tactics: feedback seeking, proactive behavior, emotional control, and 
social competence</t>
  </si>
  <si>
    <t>The omnibus multivariate test was strongly significant for learning goal orientation, F(7, 80) = 5.05, p &lt; .01.</t>
  </si>
  <si>
    <t>F(7, 80) = 5.05</t>
  </si>
  <si>
    <t>Hypothesis 3: Feedback seeking, proactive behavior, emotional control, and social competence will positively
 predict subsequent job performance</t>
  </si>
  <si>
    <t>To test how well the SR tactics predicted subsequent performance (Hypothesis 3), we conducted a multivariate 
multiple regression analysis, regressing the sales performance measure on the SR tactics. As a set, the SR tactics 
strongly predicted performance, F(4, 83) = 7.25, p &lt; .001, R^2 = .26.</t>
  </si>
  <si>
    <t>F(4, 83) = 7.25</t>
  </si>
  <si>
    <t>R^2 = .26</t>
  </si>
  <si>
    <t>https://doi.org/10.1037/0021-9010.89.4.722</t>
  </si>
  <si>
    <t>Fashing</t>
  </si>
  <si>
    <t>https://doi.org/10.1037/a0029978</t>
  </si>
  <si>
    <t>Rochsthul</t>
  </si>
  <si>
    <t>https://doi.org/10.1037//0021-9010.87.6.1086</t>
  </si>
  <si>
    <t>Forehand</t>
  </si>
  <si>
    <t>H1: Individuals exposed to identity primes should demonstrate higher levels of identity salience than should 
individuals not exposed to identity primes.</t>
  </si>
  <si>
    <t>H2: Socially distinctive individuals should demonstrate higher levels of identity salience than socially 
non-distinctive individuals.</t>
  </si>
  <si>
    <t>H3: Socially distinctive individuals should be more sensitive to identity primes than socially non-distinctive 
individuals.</t>
  </si>
  <si>
    <t>H4a: Individuals should evaluate spokespeople who represent an in-group most positively when the evaluator is 
both socially distinctive and their identity has been primed.</t>
  </si>
  <si>
    <t xml:space="preserve">Compared to low identity salience Asian participants, high identity
salience Asian participants evaluated the spokesperson more positively (Asian(high identity salience/HIS) =
4.90, Asian(low identity salience/LIS) = 4.37; F(1,167) = 5.24; p &lt; .02; η2 = .02), </t>
  </si>
  <si>
    <t>F(1,167) = 5.24</t>
  </si>
  <si>
    <t>p &lt; .02</t>
  </si>
  <si>
    <t>eta^2 = .02</t>
  </si>
  <si>
    <t>H4b: Individuals should evaluate advertising directed to an in-group most positively when the evaluator is both 
socially distinctive and their identity has been primed.</t>
  </si>
  <si>
    <t>evaluated the advertising more
positively (Asian(HIS) = 5.51, Asian(LIS) = 5.08; F(1,167) = 3.69; p &lt; .05; η2 = .01),</t>
  </si>
  <si>
    <t>F(1,167) = 3.69</t>
  </si>
  <si>
    <t>eta^2 = .01</t>
  </si>
  <si>
    <t>4c</t>
  </si>
  <si>
    <t>H4c: Individuals should evaluate out-group spokespeople least positively when the evaluator is both socially 
distinctive and their identity has been primed.</t>
  </si>
  <si>
    <t>Compared to low identity salience Caucasian participants, high identity 
salience Caucasian participants evaluated the spokesperson less positively (Caucasian(HIS) = 3.25, 
Caucasian(LIS) = 4.22; F(1,88) = 9.46; p &lt; .01; η2 = .04)</t>
  </si>
  <si>
    <t>F(1,88) = 9.46</t>
  </si>
  <si>
    <t>η^2 = .04</t>
  </si>
  <si>
    <t>4d</t>
  </si>
  <si>
    <t>H4d: Individuals should evaluate advertising directed to an out-group least positively when the evaluator is both 
socially distinctive and their identity has been primed.</t>
  </si>
  <si>
    <t xml:space="preserve">However, high identity  salience Caucasians neither provided fewer positive cognitive responses 
(Caucasian(HIS) = 0.46, Caucasian(LIS) = 0.43; F(1,88) = 0.51; p &gt; .10; η2 &lt; .001) </t>
  </si>
  <si>
    <t xml:space="preserve"> F(1,88) = 0.51</t>
  </si>
  <si>
    <t>p &gt; .10</t>
  </si>
  <si>
    <t xml:space="preserve"> η^2 &lt; .001</t>
  </si>
  <si>
    <t xml:space="preserve"> https://doi.org/10.1037/0021-9010.93.5.1155</t>
  </si>
  <si>
    <t>Oh</t>
  </si>
  <si>
    <t>Hypothesis 1: The higher the self-monitoring score, the more individuals will exhibit brokerage in the structure of 
their direct acquaintance ties.</t>
  </si>
  <si>
    <t>The overall model including self-monitoring was significant, F(6, 127) = 8.51, p &lt; .001, and explained 29 percent of the 
variance</t>
  </si>
  <si>
    <t>F(6, 127) = 8.51</t>
  </si>
  <si>
    <t>R^2 = .29</t>
  </si>
  <si>
    <t>Hypothesis 2: The higher the self-monitoring score, the more individuals will exhibit brokerage in the structure of 
their indirect acquaintance ties.</t>
  </si>
  <si>
    <r>
      <rPr>
        <b/>
      </rPr>
      <t>Is there also evidence to support the suggestion of Hypothesis 2 that self-monitoring would be positively 
related to indirect brokerage? The answer is yes</t>
    </r>
    <r>
      <t>. The overall regression model shown in Model 2 of Table 3, 
which includes self-monitoring, was significant, F(7, 126) = 27.00, p &lt; .001, and explained 60 percent of the variance</t>
    </r>
  </si>
  <si>
    <t xml:space="preserve"> F(7, 126) = 27.00</t>
  </si>
  <si>
    <t>R^2 = .60</t>
  </si>
  <si>
    <t>Hypothesis 3: The higher the self-monitoring score, the wider the range of individuals’ acquaintances outside the 
ethnic community.</t>
  </si>
  <si>
    <t>We found no support for this hypothesis, as the nonsignificance of the self-monitoring term in Model 2 in Table 4 shows.</t>
  </si>
  <si>
    <t>No stats presented</t>
  </si>
  <si>
    <t>Hypothesis 4: The relationship between self-monitoring and the range of contacts with people outside the ethnic 
community will be stronger for individuals with shorter tenure in the community.</t>
  </si>
  <si>
    <t>Model 3 in Table 4 does show support for the interaction Hypothesis 4. The overall regression model was significant, 
F(9, 124) = 4.01, p &lt; .001.</t>
  </si>
  <si>
    <t>F(9, 124) = 4.01</t>
  </si>
  <si>
    <t xml:space="preserve"> https://doi.org/10.1037/apl0000225</t>
  </si>
  <si>
    <t>Igic</t>
  </si>
  <si>
    <t>https://doi.org/10.1037/0021-9010.90.6.1043</t>
  </si>
  <si>
    <t>Special section</t>
  </si>
  <si>
    <t>Klein</t>
  </si>
  <si>
    <t>https://doi.org/10.1037/0021-9010.89.4.599</t>
  </si>
  <si>
    <t>Correlational</t>
  </si>
  <si>
    <t>Colbert</t>
  </si>
  <si>
    <t xml:space="preserve"> https://doi.org/10.1037/0021-9010.91.2.365</t>
  </si>
  <si>
    <t>Payne</t>
  </si>
  <si>
    <t>https://doi.org/10.1037/a0012572</t>
  </si>
  <si>
    <t>Dudley</t>
  </si>
  <si>
    <t xml:space="preserve"> https://doi.org/10.1037/a0037547</t>
  </si>
  <si>
    <t>Gonzalez-Mulé</t>
  </si>
  <si>
    <t>https://doi.org/10.1037/a0018628</t>
  </si>
  <si>
    <t>Vignovic</t>
  </si>
  <si>
    <r>
      <t xml:space="preserve">Hypothesis 1: There will be an interaction between cultural cues and technical language violations such that 
information revealing an e-mail sender’s nonnative identity will reduce the negative effects of technical language 
violations on a recipient’s perceptions of the sender’s </t>
    </r>
    <r>
      <rPr>
        <b/>
      </rPr>
      <t>conscientiousness</t>
    </r>
    <r>
      <t>.</t>
    </r>
  </si>
  <si>
    <t>In support of Hypotheses 1 and 2, providing information revealing an e-mail sender’s nonnative, foreign identity reduced
 the negative effects of technical language violations on a recipient’s perceptions of the sender’s conscientiousness 
(see Figure 1) and intelligence (see Figure 2). Hypothesis 3 was not supported. 
Perceived conscientiousness F(1, 293) = 3.96 p = .05 eta^2 = .01</t>
  </si>
  <si>
    <t xml:space="preserve"> F(1, 293) = 3.96</t>
  </si>
  <si>
    <r>
      <t xml:space="preserve">Hypothesis 2: There will be an interaction between cultural cues and technical language violations such that 
information revealing an e-mail sender’s nonnative identity will reduce the negative effects of technical language 
violations on a recipient’s perceptions of the sender’s </t>
    </r>
    <r>
      <rPr>
        <b/>
      </rPr>
      <t>intelligence</t>
    </r>
  </si>
  <si>
    <t>Percieved intelligence F(1, 293) = 7,62, p = .01, eta^2 = .03</t>
  </si>
  <si>
    <t>F(1,293) = 7.62</t>
  </si>
  <si>
    <t>eta^2 = .03</t>
  </si>
  <si>
    <r>
      <t xml:space="preserve">Hypothesis 3: There will be an interaction between cultural cues and technical language violations such that 
information revealing an e-mail sender’s nonnative identity will reduce the negative effects of technical language 
violations on a recipient’s cognitive perceptions of the sender’s </t>
    </r>
    <r>
      <rPr>
        <b/>
      </rPr>
      <t>trustworthiness</t>
    </r>
    <r>
      <t xml:space="preserve">.
</t>
    </r>
  </si>
  <si>
    <t>Hypothesis 3 was not supported.
Perceived cognitive trustworthiness F(1,293) = 2.56 p = .11 eta^2 =  .01</t>
  </si>
  <si>
    <t>F(1,293) = 2.56</t>
  </si>
  <si>
    <t>p = .11</t>
  </si>
  <si>
    <r>
      <t xml:space="preserve">Hypothesis 4: There will be an interaction between cultural cues and etiquette deviations such that information 
indicating an e-mail sender’s nonnative identity will reduce the negative effects of etiquette deviations on a 
recipient’s perceptions of the sender’s </t>
    </r>
    <r>
      <rPr>
        <b/>
      </rPr>
      <t>agreeableness.</t>
    </r>
  </si>
  <si>
    <t>The proposed hypotheses were not supported, as indicated by a nonsignificant interaction,
 F(4, 297) = 0.16, p &lt; .96, eta^2 = .00, between the presence of cultural cue and etiquette 
deviation on perceived agreeableness (Hypothesis 4), extraversion (Hypothesis 5), cognitive trustworthiness 
(Hypothesis 6), and affective trustworthiness (Hypothesis 7).</t>
  </si>
  <si>
    <t>F(1, 300) = 0.02</t>
  </si>
  <si>
    <t>p = .90</t>
  </si>
  <si>
    <r>
      <t xml:space="preserve">Hypothesis 5: There will be an interaction between cultural cues and etiquette deviations such that information
indicating an e-mail sender’s nonnative identity will reduce the negative effects of etiquette deviations on a 
recipient’s perceptions of the sender’s level of </t>
    </r>
    <r>
      <rPr>
        <b/>
      </rPr>
      <t>extraversion.</t>
    </r>
  </si>
  <si>
    <t>F(1, 300) = 0.21</t>
  </si>
  <si>
    <t>p = .65</t>
  </si>
  <si>
    <r>
      <t xml:space="preserve">Hypotheses 6 and 7: There will be an interaction between cultural cues and etiquette deviations such that 
information indicating an e-mail sender’s nonnative identity will reduce the negative effects of etiquette deviations 
on a recipient’s </t>
    </r>
    <r>
      <rPr>
        <b/>
      </rPr>
      <t>cognitive perceptions (Hypothesis 6</t>
    </r>
    <r>
      <t xml:space="preserve">) and </t>
    </r>
    <r>
      <rPr>
        <b/>
      </rPr>
      <t>affective perceptions</t>
    </r>
    <r>
      <t xml:space="preserve"> (Hypothesis 7) of the sender’s 
trustworthiness.</t>
    </r>
  </si>
  <si>
    <t>F(1, 300) = 0.04</t>
  </si>
  <si>
    <t>p = .85</t>
  </si>
  <si>
    <t xml:space="preserve"> affective perceptions (Hypothesis 7)</t>
  </si>
  <si>
    <t>F(1, 300) = 0.35</t>
  </si>
  <si>
    <t>p = .56</t>
  </si>
  <si>
    <t>https://doi.org/10.1037/0021-9010.88.2.246</t>
  </si>
  <si>
    <t>Kark</t>
  </si>
  <si>
    <t>https://doi.org/10.1037/0021-9010.86.3.525</t>
  </si>
  <si>
    <t>Schreiber</t>
  </si>
  <si>
    <t>that children would produce more highly probable answers to those items on which they had previously been 
invited to speculate than to those items on which they had not been invited to speculate</t>
  </si>
  <si>
    <t>Three weeks after the clown show, children produced more highly probable but false answers for those items on which 
they had been invited to speculate than for those items on which they had not been invited to speculate, 
t(52) = 2.28, p &lt; .05.</t>
  </si>
  <si>
    <t>t(52) = 2.28</t>
  </si>
  <si>
    <r>
      <t xml:space="preserve">We conducted a second experiment using a within-subjects design; that is, participants were invited to speculate 
about half of the experimental items, whereas the rest of the items served as a control. </t>
    </r>
    <r>
      <rPr>
        <b/>
      </rPr>
      <t>Thus, the contrast of
most interest</t>
    </r>
    <r>
      <t>—whether preschoolers will mistake the highly probable but false actions more often for what they
originally saw for those items on which they had previously been invited to speculate than for those items on 
which they had not been invited to speculate—was no longer confounded with a possible difference in higher
order strategies caused by learning different criteria as to what counts as a good answer</t>
    </r>
  </si>
  <si>
    <t xml:space="preserve">Children did not produce more highly probable but false answers to those items on which they had formerly been
 invited to speculate than on those items they had not, t(47) = - .01, ns. </t>
  </si>
  <si>
    <t>t(47) = 0.01</t>
  </si>
  <si>
    <t>https://doi.org/10.1037/0021-9010.87.5.819</t>
  </si>
  <si>
    <t>Gully</t>
  </si>
  <si>
    <t>https://doi.org/10.1037/apl0000161</t>
  </si>
  <si>
    <t>Roberson</t>
  </si>
  <si>
    <t>https://doi.org/10.1037/0021-9010.89.5.854</t>
  </si>
  <si>
    <t>Totterdell</t>
  </si>
  <si>
    <t>https://doi.org/10.1037/0021-9010.89.6.1023</t>
  </si>
  <si>
    <t>Model building</t>
  </si>
  <si>
    <t>Aquino</t>
  </si>
  <si>
    <t>https://doi.org/10.1037/a0013504</t>
  </si>
  <si>
    <t>Liao</t>
  </si>
  <si>
    <t xml:space="preserve"> https://doi.org/10.1037//0021-9010.86.5.897</t>
  </si>
  <si>
    <t>Huffcutt</t>
  </si>
  <si>
    <t>https://doi.org/10.1037//0021-9010.87.5.903</t>
  </si>
  <si>
    <t>Holtom</t>
  </si>
  <si>
    <t>https://doi.org/10.1037/a0021987</t>
  </si>
  <si>
    <t>Hartnell</t>
  </si>
  <si>
    <t>https://doi.org/10.1037/apl0000241</t>
  </si>
  <si>
    <t>Lacerenza</t>
  </si>
  <si>
    <t xml:space="preserve"> https://doi.org/10.1037/0021-9010.88.3.518</t>
  </si>
  <si>
    <t>Regressional</t>
  </si>
  <si>
    <t>Sonnentag</t>
  </si>
  <si>
    <t>https://doi.org/10.1037/a0012696</t>
  </si>
  <si>
    <t>Pugh</t>
  </si>
  <si>
    <t>https://doi.org/10.1037/a0032809</t>
  </si>
  <si>
    <t>Hannah</t>
  </si>
  <si>
    <t>https://doi.org/10.1037/0021-9010.91.1579</t>
  </si>
  <si>
    <t>DOI not found</t>
  </si>
  <si>
    <t>https://doi.org/10.1037//0021-9010.85.2.305</t>
  </si>
  <si>
    <t>Donovan</t>
  </si>
  <si>
    <t>https://doi.org/10.1037/0021-9010.88.5.809</t>
  </si>
  <si>
    <t>Witt</t>
  </si>
  <si>
    <t xml:space="preserve"> https://doi.org/10.1037/a0024343</t>
  </si>
  <si>
    <t>https://doi.org/10.1037/0021-9010.88.6.1019</t>
  </si>
  <si>
    <t>https://doi.org/10.1037/a0017221</t>
  </si>
  <si>
    <t>https://doi.org/10.1037/0021-9010.91.1.166</t>
  </si>
  <si>
    <t>Deery</t>
  </si>
  <si>
    <t xml:space="preserve"> https://doi.org/10.1037/apl0000258</t>
  </si>
  <si>
    <t>Vial</t>
  </si>
  <si>
    <t>https://doi.org/10.1037/0021-9010.89.4.715</t>
  </si>
  <si>
    <t>Simpson</t>
  </si>
  <si>
    <t>Hypothesis 1: Women in professional and management jobs will report more often suppressing negative feelings 
and displaying positive feelings than men in professional and management jobs will report</t>
  </si>
  <si>
    <t xml:space="preserve">For suppressing negative emotions, the means scores for the women were significantly higher than the mean scores 
for the men (M_women = 2.45, M_men = 2.23, F(1, 301) = 5.90, p &lt; .05).
This was also true for displaying positive emotions (M_women = 2.56, M-men = 2.21, F(1, 301) = 6.92, p &lt; .05). 
Thus, Hypothesis 1 was supported. </t>
  </si>
  <si>
    <t>F(1, 301) = 5.90</t>
  </si>
  <si>
    <t>p &lt; / = .05</t>
  </si>
  <si>
    <t>F(1, 301) = 6.92</t>
  </si>
  <si>
    <t>Hypothesis 2: Men in professional and management jobs will report more often suppressing positive feelings 
and displaying negative feelings than women in professional and management jobs will report.</t>
  </si>
  <si>
    <t>The opposite was true for the category covering up positive emotions (Mwomen = 2.24, Mmen = 2.63, 
F(1, 301) = 7.22, p &lt; .05) and displaying negative emotions (Mwomen = 1.15, Mmen = 1.27, F(1, 301) = 4.78, p &lt; .05). 
Thus, men are more likely to cover up positive emotions and display negative</t>
  </si>
  <si>
    <t>F(1, 301) = 7.22</t>
  </si>
  <si>
    <t>F(1, 301) = 4.78</t>
  </si>
  <si>
    <t xml:space="preserve">Hypothesis 3: Differences in how male and female managers and professionals assess the emotional labor 
requirements of their jobs will correspond with differences in the type of work undertaken by male and female
managers and professionals.
</t>
  </si>
  <si>
    <r>
      <t xml:space="preserve">The only emotional expression dimension for which a gender difference persisted was the display of positive emotions
(Mwomen = 2.54, Mmen = 2.19, F(1, 291) = 5.11, p &lt; .05). These results offer </t>
    </r>
    <r>
      <rPr>
        <b/>
      </rPr>
      <t xml:space="preserve">partial </t>
    </r>
    <r>
      <t>support for Hypothesis 3,</t>
    </r>
  </si>
  <si>
    <t xml:space="preserve"> F(1, 291) = 5.11</t>
  </si>
  <si>
    <t xml:space="preserve"> F(1, 291) = 1.55</t>
  </si>
  <si>
    <t xml:space="preserve"> F(1, 291) = 3.18</t>
  </si>
  <si>
    <t xml:space="preserve"> F(1, 291) = 3.16</t>
  </si>
  <si>
    <t>Hypothesis 4: Emotional dissonance is positively related to feelings of inauthenticity at work.</t>
  </si>
  <si>
    <t>Hypothesis 5: Women will report comparatively higher levels of inauthenticity than will men in response to 
performing emotionally dissonant labor.</t>
  </si>
  <si>
    <t>https://doi.org/10.1037/0021-9010.90.6.1153</t>
  </si>
  <si>
    <t>Correlations</t>
  </si>
  <si>
    <t>LePine</t>
  </si>
  <si>
    <t>https://doi.org/10.1037/0021-9010.90.4.792</t>
  </si>
  <si>
    <t>Brown</t>
  </si>
  <si>
    <t>https://doi.org/10.1037/apl0000155</t>
  </si>
  <si>
    <t>Unsworth</t>
  </si>
  <si>
    <t>https://doi.org/10.1037/0021-9010.92.4.1006</t>
  </si>
  <si>
    <t xml:space="preserve"> https://doi.org/10.1037/a0013391</t>
  </si>
  <si>
    <t>Krings</t>
  </si>
  <si>
    <t>https://doi.org/10.1037//0021-9010.85.3.399</t>
  </si>
  <si>
    <t>Roth</t>
  </si>
  <si>
    <t>https://doi.org/10.1037/0021-9010.89.6.1083</t>
  </si>
  <si>
    <t>Boswell</t>
  </si>
  <si>
    <t>https://doi.org/10.1037/a0021982</t>
  </si>
  <si>
    <t>https://doi.org/10.1037//0021-9010.86.6.1270</t>
  </si>
  <si>
    <t>Erez</t>
  </si>
  <si>
    <t>https://doi.org/10.1037/ap10000312</t>
  </si>
  <si>
    <t>https://doi.org/10.1037/0021-9010.90.5.945</t>
  </si>
  <si>
    <t>https://doi.org/10.1037//0021-9010.85.3.331</t>
  </si>
  <si>
    <t>Lindell</t>
  </si>
  <si>
    <t>https://doi.org/10.1037//0021-9010.86.5.1014</t>
  </si>
  <si>
    <t>Allen</t>
  </si>
  <si>
    <t>https://doi.org/10.1037/a0015900</t>
  </si>
  <si>
    <t>Holtz</t>
  </si>
  <si>
    <t>https://doi.org/10.1037/a0013773</t>
  </si>
  <si>
    <t>Mesmer-Magnus</t>
  </si>
  <si>
    <t xml:space="preserve"> https://doi.org/10.1037/0021-9010.93.2.346</t>
  </si>
  <si>
    <t>Herold</t>
  </si>
  <si>
    <t>https://doi.org/10.1037/apl0000184</t>
  </si>
  <si>
    <t>Bamberger</t>
  </si>
  <si>
    <t>https://doi.org/10.1037//0021-9010.85.2.219</t>
  </si>
  <si>
    <t>Stewart</t>
  </si>
  <si>
    <r>
      <t xml:space="preserve">Hypothesis 1: </t>
    </r>
    <r>
      <rPr>
        <b/>
      </rPr>
      <t>Unlike men, women</t>
    </r>
    <r>
      <t xml:space="preserve"> in preferential selection conditions, as compared with those in merit-based 
selection conditions, are more likely to </t>
    </r>
    <r>
      <rPr>
        <b/>
      </rPr>
      <t>(a) judge their general leadership abilities less favorably</t>
    </r>
    <r>
      <t>,
(b) evaluate their performance less favorably, and (c) be less desirous of continuing in the leadership position. 
Also, consistent with those findings, we predict no differences will be found among White men on the above 
variables whether their leadership position results from merit or preferential selection.</t>
    </r>
  </si>
  <si>
    <t xml:space="preserve">Contrary to Hypothesis 1, there was no Gender X Selection interaction. </t>
  </si>
  <si>
    <t>This might be a good example for showing the complexity of extracting data</t>
  </si>
  <si>
    <t>(b) evaluate their performance less favorably, and</t>
  </si>
  <si>
    <t>Not answered</t>
  </si>
  <si>
    <t xml:space="preserve">(c) be less desirous of continuing in the leadership position. </t>
  </si>
  <si>
    <r>
      <t xml:space="preserve">Hypothesis 2: Unlike </t>
    </r>
    <r>
      <rPr>
        <b/>
      </rPr>
      <t xml:space="preserve">White </t>
    </r>
    <r>
      <t xml:space="preserve">men, </t>
    </r>
    <r>
      <rPr>
        <b/>
      </rPr>
      <t xml:space="preserve">women </t>
    </r>
    <r>
      <t xml:space="preserve">and Black men in preferential </t>
    </r>
    <r>
      <rPr>
        <b/>
      </rPr>
      <t xml:space="preserve">selection </t>
    </r>
    <r>
      <t>conditions, as compared with 
those in merit-based selection conditions, are predicted to have lower leadership-related self-evaluations.</t>
    </r>
  </si>
  <si>
    <t>Contrary to Hypothesis 2, there was no Gender X Race X Selection interaction.</t>
  </si>
  <si>
    <t>Hypothesis 3: People (regardless of gender, race, and experience with selection procedures), after learning that 
they succeeded rather than failed at the task, will be more likely to have higher leadership-related self-evaluations 
and desire to lead.</t>
  </si>
  <si>
    <t>Consistent with Hypothesis 3, we found a significant outcome main effect, F(3, 193) = 33.92, p &lt; .001, eta^2 = .34.</t>
  </si>
  <si>
    <t>F(3, 193) = 33.92</t>
  </si>
  <si>
    <t>eta^2 = .34.</t>
  </si>
  <si>
    <t>Hypothesis 4: Women and minorities (thus, Black men as well as both Black and White women) may be more 
likely than White men to assign themselves greater responsibility for task-related failure than for task-related 
success.</t>
  </si>
  <si>
    <r>
      <t xml:space="preserve">Consistent with Hypothesis 4, an analysis of variance (ANOVA) in which the independent variables were race and
outcome and the dependent variable was assigned responsibility, </t>
    </r>
    <r>
      <rPr>
        <b/>
      </rPr>
      <t>found a marginally significant</t>
    </r>
    <r>
      <t xml:space="preserve"> Race X Outcome 
interaction effect, F(1, 197) = 2.9, p &lt; .09, eta^2 = .02.</t>
    </r>
  </si>
  <si>
    <t>F(1, 197) = 2.9</t>
  </si>
  <si>
    <t>p &lt; .09</t>
  </si>
  <si>
    <t>eta^2 = .02.</t>
  </si>
  <si>
    <t>Hypothesis 5: The greater one's assignment of responsibility is for a task-related success, the more favorable will 
be his or her perceived general leadership abilities and performance evaluation, and the more eager she or he will 
be to continue in a leadership position.</t>
  </si>
  <si>
    <t xml:space="preserve">Contrary to Hypothesis 5, participants' evaluations of their leadership ability, task performance, and their desire to lead
 again were not significantly more positive when they assigned themselves more (rather than less) responsibility for
 succeeding at the experimental task.
</t>
  </si>
  <si>
    <t>Hypothesis 1: Compared with their initial self-esteem, later selfesteem (obtained immediately after receiving 
negative performance feedback) will be significantly higher among feedback recipients who are Black, but not for 
those who are White.</t>
  </si>
  <si>
    <t>An ANOVA found this difference to be significant, F(1, 76) = 4.154, p &lt; .05, eta^2 = .05. 
Thus, Hypothesis 1 was supported.</t>
  </si>
  <si>
    <t>F(1, 76) = 4.154</t>
  </si>
  <si>
    <t xml:space="preserve">eta^2 = .05. </t>
  </si>
  <si>
    <t>Hypothesis 2: After the receipt of negative feedback, the changes in self-esteem ratings (hypothesized by 
Hypothesis 1) will be greater when the negative feedback comes from evaluators who are racially dissimilar 
rather than racially similar to the recipient.</t>
  </si>
  <si>
    <t xml:space="preserve">White, rather than Black, experimenter (the mean difference scores being .49 and .38 for the latter conditions, 
respectively), these differences were not significant, F(l, 76) = 0.720, ns. Thus, Hypothesis 2 was not supported.
</t>
  </si>
  <si>
    <t>F(1, 76) = 0.720</t>
  </si>
  <si>
    <t>https://doi.org/10.1037/0021-9010.85.1.38</t>
  </si>
  <si>
    <t>Garven</t>
  </si>
  <si>
    <t>https://doi.org/10.1037/0021-9010.90.2.257</t>
  </si>
  <si>
    <t>https://doi.org/10.1037/0021-9010.91.1.58</t>
  </si>
  <si>
    <t>Greenberg</t>
  </si>
  <si>
    <t>Hypothesis 1: Employees who encounter underpayment inequity on their jobs will experience higher levels of 
insomnia than those who do not encounter underpayment inequity.</t>
  </si>
  <si>
    <t>Overall, underpaid employees (M = 5.07, SD = 1.34) experienced greater insomnia than those whose pay was 
unchanged (M = 2.70, SD = 1.10), F(2, 1398) = 1,317.58, p &lt; .01, eta^2 = .48</t>
  </si>
  <si>
    <t>F(2, 1398) = 1317.58</t>
  </si>
  <si>
    <t>eta^2 = .48</t>
  </si>
  <si>
    <t>The hypothesis only includes two groups (Trained/untrained) but the interaction analysis revelas a four group 
interaction. Sadly no post-hoc test are provided</t>
  </si>
  <si>
    <r>
      <t xml:space="preserve">Hypothesis 2: Underpaid workers whose supervisors are trained in techniques for promoting interactional justice 
will experience lower insomniac reactions than underpaid workers whose supervisors </t>
    </r>
    <r>
      <rPr>
        <b/>
      </rPr>
      <t>are not so trained</t>
    </r>
    <r>
      <t>.</t>
    </r>
  </si>
  <si>
    <t>As at Time 3, the overall differences between means were significant, F(3, 463) = 92.84, p &lt; .01, eta^2 = .38. Underpaid
workers whose supervisors were trained in interactional justice reported significantly lower levels of insomnia than 
underpaid workers whose supervisors were untrained.</t>
  </si>
  <si>
    <t>F(3, 463) = 92.84</t>
  </si>
  <si>
    <t>eta^2 = .38</t>
  </si>
  <si>
    <t>*Authors reported two values</t>
  </si>
  <si>
    <t xml:space="preserve">At Time 3, following exposure to supervisors trained in interactional justice, the four groups differed significantly, 
F(3, 463) = 206.84, p &lt; .01, eta^2 = .57. Unlike Time 2, post hoc tests revealed differences between the two 
underpaid groups at Time 3  reflecting near-term beneficial effects of training. Specifically, underpaid workers whose 
supervisors were trained in interactional justice reported significantly lower levels of insomnia than underpaid workers
whose supervisors were untrained. </t>
  </si>
  <si>
    <t>F(3, 463) = 206.84</t>
  </si>
  <si>
    <t>eta^2 = .57</t>
  </si>
  <si>
    <t>https://doi.org/10.1037/0021-9010.91.4.884</t>
  </si>
  <si>
    <t>Jackson</t>
  </si>
  <si>
    <t>https://doi.org/10.1037/a0017286</t>
  </si>
  <si>
    <t>Joseph</t>
  </si>
  <si>
    <t xml:space="preserve"> https://doi.org/10.1037/0021-9010.93.5.1062</t>
  </si>
  <si>
    <t>Content analysis</t>
  </si>
  <si>
    <t>Cascio</t>
  </si>
  <si>
    <t xml:space="preserve"> https://doi.org/10.1037/a0020952</t>
  </si>
  <si>
    <t>Tierney</t>
  </si>
  <si>
    <t>https://doi.org/10.1037/0021-9010.91.1.40</t>
  </si>
  <si>
    <t>https://doi.org/10.1037/a0016539</t>
  </si>
  <si>
    <t>Madera</t>
  </si>
  <si>
    <t>https://doi.org/10.1037/apl0000156</t>
  </si>
  <si>
    <t>Fine</t>
  </si>
  <si>
    <t xml:space="preserve"> https://doi.org/10.1037/0021-9010.91.5.1088</t>
  </si>
  <si>
    <t>Yeo</t>
  </si>
  <si>
    <t>Hypothesis 1a: At the within-person level, the relationship between task-specific self-efficacy and task 
performance will be negative.</t>
  </si>
  <si>
    <t>The results from this model are presented in Table 4. In support of Hypothesis 1a, there was a significant negative
 relationship between task-specific self-efficacy and task performance at the within-person level, t(92) = 2.57, p &lt; .05.</t>
  </si>
  <si>
    <t>t(92) = 2.57</t>
  </si>
  <si>
    <t>Hypothesis 1b: At the between-persons level, the relationship between task-specific self-efficacy and task 
performance will be positive.</t>
  </si>
  <si>
    <t>In support of Hypothesis 1b, there was a positive relationship between average task-specific self-efficacy and task
 performance at the betweenpersons level, t(91) = 11.37, p &lt; .001</t>
  </si>
  <si>
    <t>t(91) = 11.37</t>
  </si>
  <si>
    <t>Hypothesis 2a: At the between-persons level, the relationship between general self-efficacy and task performance 
will be positive.</t>
  </si>
  <si>
    <t xml:space="preserve">The results from these four steps are presented in Table 5. In support of Hypothesis 2a, general self-efficacy was 
positively related to task performance, t(91) = 2.67, p &lt; .01, accounting for 3.85% of the between-persons variance
 around the performance intercept. Thus, the first criterion for mediation was met. </t>
  </si>
  <si>
    <t>t(91) = 2.67</t>
  </si>
  <si>
    <t>Hypothesis 2b: At the between-persons level, the positive relationship between general self-efficacy and task 
performance will be mediated by task-specific self-efficacy.</t>
  </si>
  <si>
    <t xml:space="preserve">The second criterion was also met—general self-efficacy was a significant positive predictor of task-specific self-efficacy,
 t(91) = 3.72, p &lt; .001. </t>
  </si>
  <si>
    <t xml:space="preserve"> t(91) = 3.72</t>
  </si>
  <si>
    <t xml:space="preserve">The final step assessed the third and fourth criteria. In support of Criterion 3, average task-specific self-efficacy was 
still related to performance while controlling for general self-efficacy, t(90) = 8.97, p &lt; .001. </t>
  </si>
  <si>
    <t>t(90) = 8.97</t>
  </si>
  <si>
    <t xml:space="preserve">Finally, in support of Criterion 4, the effect of general self-efficacy on performance disappeared when average 
task-specific self-efficacy was included in the model, t(90) =  –0.71, p &gt; .05. </t>
  </si>
  <si>
    <t>t(90) = 0.71</t>
  </si>
  <si>
    <t>Hypothesis 3a: At the within-person level, the negative effect of task-specific self-efficacy on task performance 
will strengthen over practice.</t>
  </si>
  <si>
    <t xml:space="preserve">The results from these two models are depicted in Table 3. Contrary to Hypothesis 3a, Model 1 indicated that 
task-specific self-efficacy did not interact with practice at the within-person level: 
Task-Specific Self-Efficacy x Linear Practice, t(2687) =  –0.13, p &gt; .05; 
Task-Specific Self-Efficacy x Quadratic Practice, t(2687) =  –0.25, p &gt; .05. </t>
  </si>
  <si>
    <t>t(2687) = 0.13</t>
  </si>
  <si>
    <t xml:space="preserve">p &gt; .05; </t>
  </si>
  <si>
    <t xml:space="preserve">Task-Specific Self-Efficacy x Quadratic Practice, t(2687) =  –0.25, p &gt; .05. </t>
  </si>
  <si>
    <t xml:space="preserve"> t(2687) = 0.25</t>
  </si>
  <si>
    <t xml:space="preserve"> p &gt; .05. </t>
  </si>
  <si>
    <t>Hypothesis 3b: At the between-persons level, the positive effect of task-specific self-efficacy on task performance
will strengthen over practice.3</t>
  </si>
  <si>
    <t xml:space="preserve">In support of Hypothesis 3b, however, the effect of average task-specific self-efficacy did strengthen throughout practice:
Average Task-Specific Self-Efficacy x Linear Practice, t(91) = 2.95, p &lt; .01. </t>
  </si>
  <si>
    <t>t(91) = 2.95</t>
  </si>
  <si>
    <t>Hypothesis 3c: At the between-persons level, the positive effect of general self-efficacy on task performance 
will strengthen over practice.</t>
  </si>
  <si>
    <r>
      <t xml:space="preserve">In this analysis, the cross-level interactions involving average task-specific self-efficacy remained significant. 
However, those involving general self-efficacy were not significant: General Self-Efficacy x Linear Practice, </t>
    </r>
    <r>
      <rPr>
        <i/>
      </rPr>
      <t>beta</t>
    </r>
    <r>
      <t xml:space="preserve"> = .39, 
t(90) = 0.70, p = .49, General Self-Efficacy x Quadratic Practice, beta = .01, t(90) = 0.34, p = .73, </t>
    </r>
  </si>
  <si>
    <t>t(90) = 0.70</t>
  </si>
  <si>
    <t xml:space="preserve"> p = .49</t>
  </si>
  <si>
    <t xml:space="preserve">General Self-Efficacy x Quadratic Practice, beta = .01, t(90) = 0.34, p = .73, </t>
  </si>
  <si>
    <t xml:space="preserve"> t(90) = 0.34</t>
  </si>
  <si>
    <t>p = .73</t>
  </si>
  <si>
    <t>https://doi.org/10.1037/0021-9010.90.3.553</t>
  </si>
  <si>
    <t>Zeigert</t>
  </si>
  <si>
    <t>https://doi.org/10.1037/a0012832</t>
  </si>
  <si>
    <t>Dineen</t>
  </si>
  <si>
    <t>Hypotheses 1A–1C: Fit for objective applicant pools (a) PO, (b) NS, and (c) DA should be greater when fit 
information customization is provided to job seekers.</t>
  </si>
  <si>
    <t>Fit information customization resulted in better fitting applicant pools in terms of PO fit, 
F(1, 158) = 8.93, p &lt; .05, d = 0.47</t>
  </si>
  <si>
    <t>F(1, 158) = 8.93</t>
  </si>
  <si>
    <t>d = 0.47</t>
  </si>
  <si>
    <t>(b) NS should be greater when fit information customization is provided to job seekers.</t>
  </si>
  <si>
    <t xml:space="preserve">Conversely, differences across conditions were not significant for NS fit, F(1, 158) = 3.03, ns. 
Thus Hypothesis 1B was not supported. </t>
  </si>
  <si>
    <t>F(1, 158) = 3.03</t>
  </si>
  <si>
    <t>(c) DA should be greater when fit information customization is provided to job seekers.</t>
  </si>
  <si>
    <t>and DA fit, F(1, 158) = 9.03, p &lt; .05, d = 0.48</t>
  </si>
  <si>
    <t>F(1, 158) = 9.03</t>
  </si>
  <si>
    <t>d = 0.48</t>
  </si>
  <si>
    <t>Hypothesis 2: Job seekers’ scrutiny of information related to their most relevant fit categories should yield greater 
applicant pool fit combined across applicants’ most relevant categories, compared with applicant pool fit 
combined across least relevant categories.</t>
  </si>
  <si>
    <t>A paired sample t test showed that applicant pool fit on most relevant categories was significantly greater than fit on 
least relevant categories across all applicant pools, supporting Hypothesis 2, t(159) = 2.33, p &lt; .05, d = 0.26.</t>
  </si>
  <si>
    <t>t(159) = 2.33</t>
  </si>
  <si>
    <t>d = 0.26</t>
  </si>
  <si>
    <t>Hypothesis 3: Objective fit information that is most relevant to the job seeker should be related more strongly, 
and fit information that is least relevant should be related less strongly, to application decisions, yielding even
 greater differences in applicant pool fit between most and least relevant fit categories when configural 
customization is provided.</t>
  </si>
  <si>
    <t xml:space="preserve">To test Hypothesis 3, we created an index representing the distance between fit on the most relevant category and fit
on the least relevant category for each applicant pool. Using analysis of variance, we found a significant configural 
customization term, F(1, 158) = 4.21, p &lt; .05, </t>
  </si>
  <si>
    <t>F(1, 158) = 4.21</t>
  </si>
  <si>
    <t>Hypothesis 4: Application rates will be highest when no customization is provided, lower when fit information 
customization or configural customization is provided, and lowest when both forms of customization are provided</t>
  </si>
  <si>
    <t>https://doi.org/10.1037//0021-9010.87.1.43</t>
  </si>
  <si>
    <t>Barrick</t>
  </si>
  <si>
    <t>https://doi.org/10.1037/0021-9010.89.2.208</t>
  </si>
  <si>
    <t>Powers</t>
  </si>
  <si>
    <t>https://doi.org/10.1037/a0017498</t>
  </si>
  <si>
    <t>Kacmar</t>
  </si>
  <si>
    <t>https://doi.org/10.1037/0021-9010.90.5.980</t>
  </si>
  <si>
    <t xml:space="preserve"> https://doi.org/10.1037/a0026811</t>
  </si>
  <si>
    <t>DeCelles</t>
  </si>
  <si>
    <t>https://doi.org/10.1037/a0021442</t>
  </si>
  <si>
    <t>Shapiro</t>
  </si>
  <si>
    <t xml:space="preserve"> https://doi.org/10.1037/0021-9010.90.3.563</t>
  </si>
  <si>
    <t>Jawahar</t>
  </si>
  <si>
    <t xml:space="preserve">Hypothesis 1: Applicant sex and job type will interact such that (a) more men than women will be hired for a 
male dominated job and </t>
  </si>
  <si>
    <t>As expected, 67% of candidates hired were men and 33% were women. Participants were more willing to hire men than 
women, M = 3.52 versus M = 3.27, t(75) = 1.714, p &lt; .05.</t>
  </si>
  <si>
    <t>t(75) = 1.714</t>
  </si>
  <si>
    <t xml:space="preserve"> p &lt; .05.</t>
  </si>
  <si>
    <t>Example for the presentation?
Hidden answers to their hypothesis in tables instead of presenting them. Presenting other q's instead
Splitting answers into groups even if their hypothesis just ask for one group etc.</t>
  </si>
  <si>
    <t>(b) more women than men will be hired for a female-dominated job.</t>
  </si>
  <si>
    <t>Likewise, it was predicted that more women than men would be hired in the female-dominated job. 
As expected, 60% of candidates hired were women and 40% were men. Participants were more willing to hire women
than men, M = 3.85 versus M = 3.21, t(73) = 4.16, p &lt; .001</t>
  </si>
  <si>
    <t xml:space="preserve"> t(73) = 4.16</t>
  </si>
  <si>
    <t>Hypothesis 2: Attractive applicants are more likely to be hired than applicants who are less attractive.</t>
  </si>
  <si>
    <t>Participants were more willing to hire attractive than less attractive candidates, 
M = 3.78 versus M = 3.24, t(210) = 6.067, p &lt; .001.</t>
  </si>
  <si>
    <t>t(210) = 6.067</t>
  </si>
  <si>
    <t>p &lt; .001.</t>
  </si>
  <si>
    <t xml:space="preserve">Hypothesis 3: Applicant sex, attractiveness, and job type will interact such that (a) an attractive man is more likely 
to be hired for a female-dominated job than a less attractive man and </t>
  </si>
  <si>
    <t>Participants in this condition were also more willing to hire the attractive Paul than the less attractive Richard, 
M = 3.77 versus M = 2.65, t(73) = 7.24, p &lt; .001</t>
  </si>
  <si>
    <t>t(73) = 7.24</t>
  </si>
  <si>
    <t>(b) an attractive woman is more likely to be hired for a male-dominated job than a less attractive woman.</t>
  </si>
  <si>
    <t xml:space="preserve">Julie, whereas only 6 participants hired the less attractive Stacy. Participants in this condition were also more willing
 to hire the attractive Julie than the less attractive Stacy, M = 3.62 versus M = 2.93, t(75) = 5.31, p &lt; .001. </t>
  </si>
  <si>
    <t>t(75) = 5.31</t>
  </si>
  <si>
    <t>Hypothesis 4a: Self-monitoring and attractiveness will interact such that high self-monitors will be more likely to 
select attractive than less attractive candidates relative to low selfmonitors.</t>
  </si>
  <si>
    <t xml:space="preserve">Hypothesis 4a predicted that high self-monitors would hire more attractive versus less attractive candidates relative
 to low selfmonitors. The Attractiveness x Self-Monitoring interaction with selection decision as the dependent variable 
was not significant, F(1, 207) = 0.76, p = .39. </t>
  </si>
  <si>
    <t>F(1, 207) = 0.76</t>
  </si>
  <si>
    <t>p = .39</t>
  </si>
  <si>
    <t>Hypothesis 4b: Self-monitoring, sex of applicants, and jobtype will interact such that, relative to low self-monitors,
 high self-monitors will be more likely to select men for male dominated jobs and women for female-dominated jobs.</t>
  </si>
  <si>
    <r>
      <t xml:space="preserve"> Likewise, the effect size of willingness to hire for high self-monitors (d = .26, M = 3.51 vs. M = 3.24) and low 
self-monitors (d = .28, M = 3.52 vs. M = 3.31) was not significantly different   ###</t>
    </r>
    <r>
      <rPr>
        <i/>
      </rPr>
      <t>(result hidden in Table 3; S X JT X SM)</t>
    </r>
  </si>
  <si>
    <t>F(2, 207) = 1.68</t>
  </si>
  <si>
    <t>nr</t>
  </si>
  <si>
    <t>eta^2 = .016</t>
  </si>
  <si>
    <t>As expected, 62% of candidates hired were attractive (i.e., Paul and Julie) and 38% were relatively less attractive 
(Richard and Stacy). Participants (i.e., HR professionals) were more willing to hire attractive than less attractive 
candidates, M = 3.74 versus M = 3.34, t(60) = 3.44, p &lt; .001.</t>
  </si>
  <si>
    <t>t(60) = 3.44</t>
  </si>
  <si>
    <t>In the female-dominated job, 67% of candidates hired were women and 33% were men. Participants
were more willing to hire women than men, M = 3.77 versus M = 3.39, t(29) = 2.54, p &lt; .01.</t>
  </si>
  <si>
    <t>t(29) = 2.54</t>
  </si>
  <si>
    <t xml:space="preserve">Participants (i.e., HR professionals) were more willing to hire attractive than less attractive candidates,
 M = 3.74 versus M = 3.34, t(60) = 3.44, p &lt; .001. </t>
  </si>
  <si>
    <t>The Attractiveness X Sex of Applicant X Job Type interaction predicted in Hypothesis 3 was not significant. 
Because the fourway interaction was marginally significant for the willingness-to hire dependent variable, 
F(1, 57) = 3.95, p = .06, eta^2 = .065,</t>
  </si>
  <si>
    <t>F(1, 57) = 3.95</t>
  </si>
  <si>
    <t>eta^2 = .065</t>
  </si>
  <si>
    <t>### Not reported in the text</t>
  </si>
  <si>
    <t>F(1, 57) = 0.01</t>
  </si>
  <si>
    <t>eta^2 = .000</t>
  </si>
  <si>
    <t>Hypothesis 4a predicted that high self-monitors would hire more attractive versus less attractive candidates relative to 
low selfmonitors. The Attractiveness x Self-Monitoring interaction with selection decision as the dependent variable
failed to reach significance, F(1, 57) = 2.29, p = .13</t>
  </si>
  <si>
    <t>F(1, 57) = 2.29</t>
  </si>
  <si>
    <t>p = .13</t>
  </si>
  <si>
    <r>
      <t xml:space="preserve">Hypothesis 4b predicted that relative to low self-monitors, high self-monitors would hire more men than women for the 
male sex-typed job and hire more women than men for the female sex-typed job. 
The Self-Monitoring x Sex of Applicant x Job </t>
    </r>
    <r>
      <rPr>
        <b/>
      </rPr>
      <t>Type interaction was significant (at the p &lt; .1 level)</t>
    </r>
    <r>
      <t xml:space="preserve"> for decision to hire,
 F(1, 57) = 3.143, p &lt; .1</t>
    </r>
  </si>
  <si>
    <t>F(1, 57) = 3.143</t>
  </si>
  <si>
    <t>p &lt; .1</t>
  </si>
  <si>
    <t>They just switched the cap for p-values during the study! well played sir, well played</t>
  </si>
  <si>
    <t>https://doi.org/10.1037/a0038047</t>
  </si>
  <si>
    <t>Methodology</t>
  </si>
  <si>
    <t>Bosco</t>
  </si>
  <si>
    <t>https://doi.org/10.1037/a0015044</t>
  </si>
  <si>
    <t>Hypothesis 1:At the intraindividual level, there is a positive relationship between mastery-approach and performance</t>
  </si>
  <si>
    <t>As seen in Step 3 of Table 3, results supported Hypothesis 1. Mastery-approach orientation predicted task performance 
at the intraindividual level, t(102) = 2.04, p &lt; .05</t>
  </si>
  <si>
    <t xml:space="preserve"> t(102) = 2.04</t>
  </si>
  <si>
    <t>Not sure of one or two tailed?</t>
  </si>
  <si>
    <t>Hypothesis 2a: At the intraindividual level, there is a positive relationship between performance-approach and 
performance</t>
  </si>
  <si>
    <t>Hypotheses 2a and 3a were not supported; neither performance-approach, t(102) = -1.44, ns, nor performance-avoid,
 t(102) = 0.83, ns</t>
  </si>
  <si>
    <t xml:space="preserve"> t(102) = 1.44</t>
  </si>
  <si>
    <t>Hypothesis 2b: At the interindividual level, there is a positive relationship between performance-approach and 
performance.</t>
  </si>
  <si>
    <t>As seen in Step 2 of Table 3,4 analyses supported Hypotheses 2b
and 3b. Performance-approach, t(99) = 2.32, p &lt; .05, and performance-
avoid, t(99) = -2.05, p &lt; .05</t>
  </si>
  <si>
    <t>t(99) = 2.32</t>
  </si>
  <si>
    <t>Hypothesis 3a: At the intraindividual level, there is a negative relationship between performance-avoid and 
performance.</t>
  </si>
  <si>
    <t>nor performance-avoid,  t(102) = 0.83, ns</t>
  </si>
  <si>
    <t>t(102) = 0.83</t>
  </si>
  <si>
    <t>Hypothesis 3b: At the interindividual level, there is a negative relationship between performance-avoid and 
performance.</t>
  </si>
  <si>
    <t>and performance-avoid, t(99) = -2.05, p &lt; .05</t>
  </si>
  <si>
    <t xml:space="preserve"> t(99) = 2.05</t>
  </si>
  <si>
    <t>Hypothesis 4a: At the intra individual level, the positive relationship between mastery-approach and performance 
weakens over practice.</t>
  </si>
  <si>
    <t>Hypothesis 4a was not supported, as the Level 1 interaction between mastery-approach and the linear trajectory 
was not significant, t(102) = 0.13, ns</t>
  </si>
  <si>
    <t>t(102) = 0.13</t>
  </si>
  <si>
    <t>Hypothesis 4b: At the intraindividual level, the relationship between performance-approach and performance is 
negative early in practice but becomes positive over time.</t>
  </si>
  <si>
    <t>In support of Hypothesis 4b, the Level 1 interaction between performance-approach and the linear trajectory was 
significant, t(102) = 2.05, p &lt; .05</t>
  </si>
  <si>
    <t xml:space="preserve"> t(102) = 2.05</t>
  </si>
  <si>
    <t>Hypothesis 4c: At the intra individual level, the negative relationship between performance-avoidand performance 
weakens over practice.</t>
  </si>
  <si>
    <t>Hypothesis 4c was not supported, as the Level 1 interaction between performance-avoid and the linear trajectory was 
not significant, t(102) = 1.44, ns</t>
  </si>
  <si>
    <t>t(102) = 1.44</t>
  </si>
  <si>
    <t xml:space="preserve">ypothesis 1 was supported. As indicated in Step 3 of Table 6, mastery-approach orientation was positively related to 
performance at the intraindividual level of analysis, t(336) = 2.05, p &lt; .05. </t>
  </si>
  <si>
    <t xml:space="preserve"> t(336) = 2.05</t>
  </si>
  <si>
    <t xml:space="preserve">Hypotheses 2a and 3a were supported. As seen in Step 2 of Table 6, performance-approach, t(111) = 2.34, p &lt; .05, </t>
  </si>
  <si>
    <t xml:space="preserve"> t(111) = 2.34</t>
  </si>
  <si>
    <t>ypotheses 2a, 3, and 5 were not supported because performanceapproach, t(336) = 0.16, ns</t>
  </si>
  <si>
    <t>t(336) = 0.16</t>
  </si>
  <si>
    <t>3a were supported (...) and performance-avoid, t(111) = 2.26, p &lt; .05</t>
  </si>
  <si>
    <t>t(111) = 2.26</t>
  </si>
  <si>
    <t>performance-avoid, t(336) = 0.05, ns;</t>
  </si>
  <si>
    <t>t(336) = 0.05</t>
  </si>
  <si>
    <t>In support of Hypothesis 4a, the Level 1 interaction between performance-approach and exam complexity was 
significant, t(328) =- 2.02, p &lt; .05</t>
  </si>
  <si>
    <t>t(328) = 2.02</t>
  </si>
  <si>
    <t xml:space="preserve">and mastery-avoid, t(336) = 0.31, ns, </t>
  </si>
  <si>
    <t xml:space="preserve"> t(336) = 0.31</t>
  </si>
  <si>
    <t>Hypothesis 5: At the intraindividual level, there is a negative relationship between mastery-avoid and performance.</t>
  </si>
  <si>
    <t>and mastery-avoid, t(336) = -0.31, ns,</t>
  </si>
  <si>
    <t>Hypothesis 6a: The positive relationship between mastery approach and performance is strongest for tasks with 
high complexity.</t>
  </si>
  <si>
    <t>Hypotheses 6a, 6b, and 6d were not supported, as the Level 1 interactions involving mastery-approach, 
t(328) = -1.21, ns; mastery-avoid, t(328) = 0.94, ns; and performance-avoid, t(328) = 0.41, ns, were not significant.</t>
  </si>
  <si>
    <t>t(328) = 1.21</t>
  </si>
  <si>
    <t>Hypothesis 6b: The negative relationship between masteryavoid and performance is strongest for tasks with high 
complexity.</t>
  </si>
  <si>
    <t>mastery-avoid, t(328) = 0.94, ns</t>
  </si>
  <si>
    <t>t(328) = 0.94</t>
  </si>
  <si>
    <t>6c</t>
  </si>
  <si>
    <t>Hypothesis 6c: The relationship between performance approach and performance is positive for low-complexity, but
negative for high-complexity, tasks.</t>
  </si>
  <si>
    <t>The relationship between performance approach orientation and exam performance was positive for the least
complex exam but negative for the most complex exam (see Figure 4).</t>
  </si>
  <si>
    <t>6d</t>
  </si>
  <si>
    <t>Hypothesis 6d: The negative relationship between performance-avoid and performance is strongest for tasks with 
high complexity.</t>
  </si>
  <si>
    <t>and performance-avoid, t(328) = 0.41, ns</t>
  </si>
  <si>
    <t xml:space="preserve"> t(328) = 0.41</t>
  </si>
  <si>
    <t>https://doi.org/10.1037/a0033855</t>
  </si>
  <si>
    <t>Tangirala</t>
  </si>
  <si>
    <t>https://doi.org/10.1037/apl0000230</t>
  </si>
  <si>
    <t>Lyons</t>
  </si>
  <si>
    <t>https://doi.org/10.1037//0021-9010.86.6.1191</t>
  </si>
  <si>
    <t>De Dreu</t>
  </si>
  <si>
    <t>https://doi.org/10.1037/a0013350</t>
  </si>
  <si>
    <t>Wolff</t>
  </si>
  <si>
    <t>https://doi.org/10.1037/a0032001</t>
  </si>
  <si>
    <t>Tonidandel</t>
  </si>
  <si>
    <t>https://doi.org/10.1037//0021-9010.85.5.659</t>
  </si>
  <si>
    <t>A mess in 15 tables</t>
  </si>
  <si>
    <t>Schriesheim</t>
  </si>
  <si>
    <r>
      <t xml:space="preserve">In particular, our first hypothesis is that </t>
    </r>
    <r>
      <rPr>
        <b/>
      </rPr>
      <t>more positive relationships</t>
    </r>
    <r>
      <t xml:space="preserve"> are found </t>
    </r>
    <r>
      <rPr>
        <b/>
      </rPr>
      <t>between LMX and performance and 
commitment</t>
    </r>
    <r>
      <t xml:space="preserve"> under </t>
    </r>
    <r>
      <rPr>
        <b/>
      </rPr>
      <t>larger spans of supervision</t>
    </r>
    <r>
      <t xml:space="preserve"> (Hypothesis 1).</t>
    </r>
  </si>
  <si>
    <t>Consequently, we expect that subordinate upward controlling behavior positively moderates relationships
between LMX and performance and commitment (Hypothesis 2).</t>
  </si>
  <si>
    <t>In accord with the early theoretical writings in this domain, we expect that LMX is largely a within-groups 
phenomenon (Hypothesis 3).</t>
  </si>
  <si>
    <t>However, because span of supervision is a group-level variable, we expect that the strongest span of supervision
moderator effects exists at the between-groups level (Hypothesis 4), despite LMX being generally considered a 
withingroup theory of leader-member interactions</t>
  </si>
  <si>
    <t>However, because upward controllingness involves interaction between a subordinate and the supervisor and is not 
a group-level variable, we expect that the strongest upward controllingness moderator effects will occur at the 
within-group level (Hypothesis 5), congruent with conceptualizing LMX as largely a within-group phenomenon.</t>
  </si>
  <si>
    <t>https://doi.org/10.1037/0021-9010.93.5.1118</t>
  </si>
  <si>
    <t>Levi</t>
  </si>
  <si>
    <r>
      <t xml:space="preserve">Hypothesis 1: </t>
    </r>
    <r>
      <rPr>
        <b/>
      </rPr>
      <t>Race will interact with human resource activity to affect reactions toward AAPs</t>
    </r>
    <r>
      <t>.
Among Whites, reactions toward AAPs will be most negative for the human resource activity of layoffs, second 
most negative for promotions, and relatively less negative for training and hiring. In contrast, among African 
Americans, reactions toward AAPs will not vary systematically according to whether the AAPs involve hiring, 
promotion, training, or layoffs</t>
    </r>
  </si>
  <si>
    <r>
      <rPr>
        <b/>
      </rPr>
      <t>Although not hypothesized</t>
    </r>
    <r>
      <t>, the interaction among AAP strength,
race, and human resource activity was significant, F(6, 2445) = 3.18, p &lt; .01, eta^2 = .008.</t>
    </r>
  </si>
  <si>
    <t>F(6, 2445) = 3.18</t>
  </si>
  <si>
    <t>eta^2 = .008.</t>
  </si>
  <si>
    <t xml:space="preserve">More than 1 hypothesis in 1 hypothesis. What to do? </t>
  </si>
  <si>
    <t>https://doi.org/10.1037/0021-9010.91.2.330</t>
  </si>
  <si>
    <t>https://doi.org/10.1037//0021-9010.87.3.427</t>
  </si>
  <si>
    <t>https://doi.org/10.1037/0021-9010.89.5.911</t>
  </si>
  <si>
    <t>Doerr</t>
  </si>
  <si>
    <t xml:space="preserve">Hypothesis 1: The average group performance of WSS will be no better than performance of an FAS. </t>
  </si>
  <si>
    <t>A one-tailed t test, paired t(34) = .68, p = .50, shows a small, nonsignificant difference (effect size d = .13) and a 
large degree of overlap (U = .098, indicating that the two distributions overlap by over 90%; Cohen, 1988). 
This provides support for Hypothesis 1.</t>
  </si>
  <si>
    <t>Hypothesized in the wrong direction</t>
  </si>
  <si>
    <t xml:space="preserve">Hypothesis 2A: The slowest worker will perform more quickly on an FAS line than on a WSS line. </t>
  </si>
  <si>
    <t xml:space="preserve"> As can be seen in Table 2, the slowest worker (at the beginning of the line) was faster under an FAS than
 under a WSS, and a cell means test indicated that the difference was significant at alpha = .05, t(3,60) = 3.809 &gt; 2.404.
This provides strong support for Hypothesis 2A</t>
  </si>
  <si>
    <t>t(3,60) = 3.809</t>
  </si>
  <si>
    <t>We only got the scheffé test</t>
  </si>
  <si>
    <t>Hypothesis2B:The fastest worker on a flow line will perform faster on a WSS than on an FAS.</t>
  </si>
  <si>
    <t>.However,contrary to Hypothesis 2B,the faster worker(at the end of the line) was also faster under an FAS policy. 
Thus, Hypothesis 2B received no support</t>
  </si>
  <si>
    <t>Hypothesis 2C: Between-workers variability in performance will be greater under a WSS than under an FAS.</t>
  </si>
  <si>
    <t>and a Sheffe´ test indicated that performance under the WSS policy was significantly more heterogeneous than
 performance under the FAS policy, t = 5.275, p &lt; .00. Thus Hypothesis 2C received strong support.</t>
  </si>
  <si>
    <t xml:space="preserve"> t(3,60) = 5.275</t>
  </si>
  <si>
    <t>p &lt; .00</t>
  </si>
  <si>
    <t>Hypothesis 3: Within-worker variability will be greater on a WSS line than on an FAS line.</t>
  </si>
  <si>
    <t xml:space="preserve">Within subject variability was higher under a WSS than under an FAS </t>
  </si>
  <si>
    <t>https://doi.org/10.1037/0021-9010.91.5.1066</t>
  </si>
  <si>
    <t>Duffy</t>
  </si>
  <si>
    <t>https://doi.org/10.1037/0021-9010.91.3.653</t>
  </si>
  <si>
    <t>https://doi.org/10.1037//0021-9010.86.2.238</t>
  </si>
  <si>
    <t>Shaffer</t>
  </si>
  <si>
    <t>https://doi.org/10.1037/a0020858</t>
  </si>
  <si>
    <t>Eisenberger</t>
  </si>
  <si>
    <t>Hypothesis 1: SOE moderates the relationship between LMX and affective organizational commitment such that as 
SOE increases, the relationship between LMX and affective organizational commitment increases.</t>
  </si>
  <si>
    <t xml:space="preserve">As shown in Figure 2, the relationship between LMX and affective organizational commitment was statistically significant 
at high SOE, B = 0.45, t(78) = 3.40, p &lt; .01, </t>
  </si>
  <si>
    <t xml:space="preserve"> t(78) = 3.40</t>
  </si>
  <si>
    <t>but not at low SOE, B = 0.07, t(78) = .70, p &gt; .20.</t>
  </si>
  <si>
    <t>t(78) = 0.70</t>
  </si>
  <si>
    <t>p &gt; .20</t>
  </si>
  <si>
    <t>Hypothesis 2a: Supervisor’s identification with the organization is positively related to subordinates’ reports of 
supervisor’s favorable attitudes about the organization.</t>
  </si>
  <si>
    <r>
      <t xml:space="preserve">As shown in Table 5, supervisor’s organizational identification had a significant positive effect on the favorableness of 
supervisor’s expressed attitudes about the organization, </t>
    </r>
    <r>
      <rPr>
        <i/>
      </rPr>
      <t>y_</t>
    </r>
    <r>
      <t xml:space="preserve">04 = .24, t(55) = 2.11, p &lt; .05, supporting Hypothesis 2a.
</t>
    </r>
  </si>
  <si>
    <t>t(55) = 2.11</t>
  </si>
  <si>
    <t>Hypothesis 2b: Subordinates’ reports of supervisor’s favorable attitudes about the organization mediate the 
relationship between supervisor’s organizational identification and SOE.</t>
  </si>
  <si>
    <t>The Sobel test, using the z-prime distribution, indicated that supervisor’s expressed favorable attitudes about the 
organization mediated the influence of supervisor’s organizational identification on SOE (z = 1.86, p &lt; .05; critical z
value for statistical significance = 0.97), supporting Hypothesis 2b.</t>
  </si>
  <si>
    <t>z = 1.86</t>
  </si>
  <si>
    <t>Hypothesis 3a: Affective organizational commitment mediates the relationship between the LMX X SOE interaction
and in-role performance.</t>
  </si>
  <si>
    <t>A Sobel test, using the z-prime distribution, indicated that affective commitment to the organization mediated the influence
of the LMX _x0002_ SOE interaction on in-role performance (z = 1.63, p &lt; .05; critical z value for statistical significance = 0.97).
This result supported Hypothesis 3a.</t>
  </si>
  <si>
    <t>z = 1.63</t>
  </si>
  <si>
    <t>Hypothesis 3b: Affective organizational commitment mediates the relationship between the LMX X SOE interaction
and extra-role performance.</t>
  </si>
  <si>
    <t>The Sobel test indicated that affective organizational commitment mediated the influence of LMX X SOE interaction on 
extra-role performance (z = 1.93, p &lt; .05), supporting Hypothesis 3b.</t>
  </si>
  <si>
    <t>z = 1.93</t>
  </si>
  <si>
    <t xml:space="preserve">As shown in Figure 4, the relationship between LMX and affective organizational commitment was statistically 
significant both when SOE was high, B = 0.61, t(343) = 6.59, p &lt; .01, </t>
  </si>
  <si>
    <t>t(343) = 6.59</t>
  </si>
  <si>
    <t>and when SOE was low, B = 0.39, t(343) = 5.94, p &lt; .01</t>
  </si>
  <si>
    <t xml:space="preserve"> t(343) = 5.94</t>
  </si>
  <si>
    <t>These mediating effects were significant both for in-role performance (z = 1.74, p &lt; .05;</t>
  </si>
  <si>
    <t>z = 1.74</t>
  </si>
  <si>
    <t xml:space="preserve">and for extra-role performance (z = 1.84, p &lt; .05; </t>
  </si>
  <si>
    <t>z = 1.84</t>
  </si>
  <si>
    <t>https://doi.org/10.1037/a0026014</t>
  </si>
  <si>
    <t>Geller</t>
  </si>
  <si>
    <t>https://doi.org/10.1037/0021-9010.88.2.284</t>
  </si>
  <si>
    <t>Diefendorff</t>
  </si>
  <si>
    <t>https://doi.org/10.1037/0021-9010.92.1.151</t>
  </si>
  <si>
    <t>Baltes</t>
  </si>
  <si>
    <t>https://doi.org/10.1037//0021-9010.87.6.1149</t>
  </si>
  <si>
    <t>Tenbrunsel</t>
  </si>
  <si>
    <t>we predicted that social comparison information will play a more significant role in the decision process when Job A 
dominates the inferior, third alternative and that salary will play a more significant role when Job B dominates the 
inferior, third alternative</t>
  </si>
  <si>
    <t>The general proposition, which proposed that a job option that dominates an inferior alternative is more likely to be 
selected than a job option that does not, was supported.</t>
  </si>
  <si>
    <t>What do we do when they dont give any numbers for the hypothesis?</t>
  </si>
  <si>
    <t>https://doi.org/10.1037/0021-9010.91.4.963</t>
  </si>
  <si>
    <t>Baer</t>
  </si>
  <si>
    <t>https://doi.org/10.1037//0021-9010.87.4.735</t>
  </si>
  <si>
    <t>Schleicher</t>
  </si>
  <si>
    <t>We hypothesized that, because the goal of FOR training is to teach all assessors to view performance with a 
common frame of reference, the interrater reliability among FOR-trained assessors will be higher than the interrater 
reliability among control-trained assessors (Hypothesis 1).</t>
  </si>
  <si>
    <t>We therefore expected to see lower correlations within exercises across different dimensions 
(heterotrait–monomethod correlations; Hypothesis 2a)</t>
  </si>
  <si>
    <t xml:space="preserve">As we predicted (Hypothesis 2a), the heterotrait–monomethod correlations were significantly smaller for FOR
 assessors than for control assessors, t(16) = 2.54, p &lt; .05 (one-tailed; R^2 = .338). </t>
  </si>
  <si>
    <t>t(16) = 2.54</t>
  </si>
  <si>
    <t>and lower correlations between different dimensions in different exercises (heterotrait– heteromethod correlations; 
Hypothesis 2b) for FOR assessors than for control assessors</t>
  </si>
  <si>
    <t xml:space="preserve">This was a significant difference, t(34) = 5.62, p &lt; .01 (one-tailed; R^2 = .497), and thus, 
Hypothesis 2b was also supported. </t>
  </si>
  <si>
    <t xml:space="preserve"> t(34) = 5.62</t>
  </si>
  <si>
    <r>
      <t xml:space="preserve">Therefore, because of these expected convergent relationships between personality and skills measures and the 
assessment dimensions, we expected that the dimension ratings of FOR-trained assessors, compared with the 
control-trained assessors, would demonstrate higher correlations with similar personality measures 
</t>
    </r>
    <r>
      <rPr>
        <b/>
      </rPr>
      <t>(Hypotheses 3a, 3b, 3c, 4a, and 4b)</t>
    </r>
    <r>
      <t>.</t>
    </r>
  </si>
  <si>
    <t>Results for Hypothesis 3a (self-monitoring) and Hypothesis 3c (need for dominance) were in the hypothesized direction, 
but these were not statistically significant
t(55) = 0,62, p &gt; .05</t>
  </si>
  <si>
    <t>t(55) = 0.62</t>
  </si>
  <si>
    <t>Hypothesis 3b (social skills: r = .28 for FOR ratings and r = .14 for control ratings), 
t(55) = 2.38, p &lt; .05 (one-tailed; R2 = .097).</t>
  </si>
  <si>
    <t>t(55) = 2.38</t>
  </si>
  <si>
    <t>t(55) = 0,70, p &gt; .05</t>
  </si>
  <si>
    <t>t(55) = 0.70</t>
  </si>
  <si>
    <t>Results for Hypothesis 4a (selfmonitoring) and Hypothesis 4b (social skills) were in the hypothesized direction but 
were not statistically significant</t>
  </si>
  <si>
    <t>t(55) = 0.84</t>
  </si>
  <si>
    <t>t(55) = 1.34</t>
  </si>
  <si>
    <t>we hypothesized that the ratings of FOR-trained assessors, as compared with those of control-trained assessors, 
would converge better with the dimensional ratings provided by the supervisors (Hypothesis 5)</t>
  </si>
  <si>
    <r>
      <t xml:space="preserve">As Table 5 shows, this hypothesis was supported for </t>
    </r>
    <r>
      <rPr>
        <b/>
      </rPr>
      <t>two of the three</t>
    </r>
    <r>
      <t xml:space="preserve"> dimensions.
Supervisor leadership ratings t(55) = 2,15 , p &lt; .05</t>
    </r>
  </si>
  <si>
    <t>t(55) = 2.15</t>
  </si>
  <si>
    <t>Supervisor Communication skills ratings t(55) = 1,80, p &lt; .05</t>
  </si>
  <si>
    <t>t(55) = 1.80</t>
  </si>
  <si>
    <t>Decision-making skills AC ratings Supervisor decision-making skills ratings t(55) = -0,28, p &gt; .05</t>
  </si>
  <si>
    <t>t(55) = 0.28</t>
  </si>
  <si>
    <t xml:space="preserve"> We hypothesized, on the basis of extensive research on FOR training, that FOR-trained assessor swould provide 
more accurate ratings than control-trained assessors (Hypothesis 6).</t>
  </si>
  <si>
    <t>As we predicted, ratings provided by FOR-trained assessors were significantly more accurate than those made by
control assessors, F(5, 94) = 8.10, p &lt; .001,Wilks’s lambda = .70;partial eta^2 =  .242.</t>
  </si>
  <si>
    <t>F(5, 94) = 8.10</t>
  </si>
  <si>
    <t>In general, we expected that the ratings produced by FOR-trained raters— because of their better reliability, 
accuracy, and convergent– discriminant validity— will show stronger relationships with job performance than
will those produced by control-trained raters (Hypothesis 7).</t>
  </si>
  <si>
    <t>These two correlations were significantly different, t(40) = 1.95, p &lt; .05 (one-tailed; R^2 = .091), indicating that the FOR 
ratings were significantly more predictive of performance than the control ratings, thus supporting Hypothesis 7</t>
  </si>
  <si>
    <t>t(40) = 1.95</t>
  </si>
  <si>
    <t>https://doi.org/10.1037/a0014990</t>
  </si>
  <si>
    <t>Editorial</t>
  </si>
  <si>
    <t>Kozlowski</t>
  </si>
  <si>
    <t>https://doi.org/10.1037/0021-9010.88.2.219</t>
  </si>
  <si>
    <t>Bagozzi</t>
  </si>
  <si>
    <t>https://doi.org/10.1037/a0038543</t>
  </si>
  <si>
    <t>"Experimental"</t>
  </si>
  <si>
    <t>Cuddy</t>
  </si>
  <si>
    <t>The authors tested whether engaging in expansive (vs. contractive) “power poses” before a stressful job
interview—preparatory power posing—would enhance performance during the interview.</t>
  </si>
  <si>
    <t>As hypothesized, coders rated those who prepared with a high-power pose significantly higher on job interview 
performance than those who prepared with a low-power pose, F(1, 60) = 8.33, p = .005, d = 0.73</t>
  </si>
  <si>
    <t>F(1, 60) = 8.33</t>
  </si>
  <si>
    <t>d = 0.73</t>
  </si>
  <si>
    <t>https://doi.org/10.1037/apl0000331</t>
  </si>
  <si>
    <t>Aguinis</t>
  </si>
  <si>
    <t>https://doi.org/10.1037/a0034096</t>
  </si>
  <si>
    <t>Hypothesis 1: The feedback intervention will result in a higher safety climate level in the experimental but not the 
control group.</t>
  </si>
  <si>
    <t>Dummy? Possibly wrong reported group comparisons</t>
  </si>
  <si>
    <t>Hypothesis 2: The feedback intervention will result in a higher safety behavior level in the experimental but not the 
control group.</t>
  </si>
  <si>
    <t>Considered jointly, our results support the five hypotheses described above, with the exception of Hypothesis 2</t>
  </si>
  <si>
    <t xml:space="preserve">Should we take the interaction effect and compare it to the graphs? </t>
  </si>
  <si>
    <t>Hypothesis 3: The feedback intervention will result in lower perceived workload level for the experimental but not 
the control group</t>
  </si>
  <si>
    <t>Hypothesis 4: The feedback intervention will result in a higher level of perceived teamwork in the experimental but 
not the control group</t>
  </si>
  <si>
    <t>Hypothesis 5: The feedback intervention will result in higher safety audit scores for the experimental but not the 
control group.</t>
  </si>
  <si>
    <t>https://doi.org/10.1037/apl0000211</t>
  </si>
  <si>
    <t>Possibly Exp</t>
  </si>
  <si>
    <t>RQ at RG</t>
  </si>
  <si>
    <t>Ilies</t>
  </si>
  <si>
    <t>https://doi.org/10.1037/a0034156</t>
  </si>
  <si>
    <t>Kuncel</t>
  </si>
  <si>
    <t>https://doi.org/10.1037/a0037877</t>
  </si>
  <si>
    <t>Kolbe</t>
  </si>
  <si>
    <t>https://doi.org/10.1037/0021-9010.90.6.1265</t>
  </si>
  <si>
    <t>Zhao</t>
  </si>
  <si>
    <t>https://doi.org/10.1037/0021-9010.90.2.232</t>
  </si>
  <si>
    <t>Kim</t>
  </si>
  <si>
    <t>https://doi.org/10.1037/a0029450</t>
  </si>
  <si>
    <t>Siegel</t>
  </si>
  <si>
    <t>Hypothesis 1: A violated team member will individually (a) engage in fewer supervisor-directed OCBs and</t>
  </si>
  <si>
    <t>violated team member engaged in fewer supervisor-directed OCBs (M = 0.59, SD = 0.50) than a nonviolated team 
member in the same role position (M = 0.85, SD = 0.37), F(1, 66) = 7.35, p &lt; .01, eta^2 = .10.</t>
  </si>
  <si>
    <t xml:space="preserve"> F(1, 66) = 7.35</t>
  </si>
  <si>
    <t>eta^2 = .10</t>
  </si>
  <si>
    <r>
      <t xml:space="preserve">A lot of </t>
    </r>
    <r>
      <rPr>
        <b/>
      </rPr>
      <t>not reported</t>
    </r>
    <r>
      <t xml:space="preserve"> stuff; dummy coding; presentation?</t>
    </r>
  </si>
  <si>
    <t>(b) give lower supervisor performance evaluation than a nonviolated team member in the same role position.</t>
  </si>
  <si>
    <t>supervisor a lower performance evaluation (M _x0001_ 4.81, SD _x0001_ 0.30) than a nonviolated team member in the same role 
position (M = 4.91, SD = 0.19), F(1, 65) = 5.30, p &lt; .05, eta^2 = .08.</t>
  </si>
  <si>
    <t>F(1, 65) = 5.30</t>
  </si>
  <si>
    <t>eta^2 = .08</t>
  </si>
  <si>
    <t xml:space="preserve">Hypothesis 2: Third-party teammates of a violated team member will collectively (a) engage in fewer supervisor 
directed OCBs and </t>
  </si>
  <si>
    <t>than third-party teammates who did not experience the violation of a member (M = 0.83, SD = 0.24), 
F(1, 63) = 3.73, p = .05, eta^2 = .07.; only Hypothesis 2a received support.</t>
  </si>
  <si>
    <t>F(1, 63) = 3.73</t>
  </si>
  <si>
    <t>eta^2 = .07</t>
  </si>
  <si>
    <t>Difference between calculated and reported p-value!! Still, they reported support for their hypothesis</t>
  </si>
  <si>
    <t>(b) give lower supervisor performance evaluations than third-party teammates of a nonviolated
 team member.</t>
  </si>
  <si>
    <t>ns, nr</t>
  </si>
  <si>
    <t>Hypothesis 3: A violated core team member will individually (a) engage in fewer supervisor-directed OCBs and</t>
  </si>
  <si>
    <t>violated core team member engaged in fewer supervisor-directed OCBs (M _x0001_ 0.43, SD _x0001_ 0.50) than a violated non-core 
team member (M = 0.77, SD = 0.42), F(1, 45) = 3.86, p = .05, eta^2 = .08. However, the effect of violated member 
coreness on performance evaluations was not significant.
Therefore, only Hypothesis 3a received support.</t>
  </si>
  <si>
    <t>F(1, 45) = 3.86</t>
  </si>
  <si>
    <t>(b) give a lower supervisor performance evaluation than a violated noncore team member.</t>
  </si>
  <si>
    <t>ns, nr "However, the effect of violated member coreness on performance evaluations was not significant."</t>
  </si>
  <si>
    <t xml:space="preserve">Hypothesis 4: Third-party teammates of a violated core team member will collectively (a) engage in fewer supervisor
directed OCBs and </t>
  </si>
  <si>
    <t>There was a significant effect of violated member coreness on supervisor-directed OCBs for third-party teammates. In
 particular, third-party teammates of a violated core team member engaged in fewer supervisor-directed OCBs 
(M = 0.54, SD = 0.44) than third-party teammates of a violated non-core team member (M = 0.81, SD = 0.25), 
F(1, 45) = 4.39, p &lt; .05, eta^2 = .10.</t>
  </si>
  <si>
    <t>F(1, 45) = 4.39</t>
  </si>
  <si>
    <t>(b) give lower supervisor performance evaluations than third-party teammates of a violated non-core team member.</t>
  </si>
  <si>
    <r>
      <t>However, the effect of violated member coreness on performance evaluations for third-party teammates was not 
significant;</t>
    </r>
    <r>
      <rPr>
        <b/>
      </rPr>
      <t xml:space="preserve"> only Hypothesis 4a received support.</t>
    </r>
  </si>
  <si>
    <t xml:space="preserve">Hypothesis 5: A violated team member that receives a recovery will individually 
(a) engage in greater supervisor-directed OCBs and </t>
  </si>
  <si>
    <t xml:space="preserve">There was a significant effect of recovery on supervisordirected OCBs, such that a violated team member who received 
a recovery engaged in greater supervisor-directed OCBs (M = 0.76, SD = 0.43) than a violated team member who did 
not receive a recovery (M = 0.43, SD = 0.50), F(1, 45) = 4.58, p &lt; .05, eta^2 = .10. </t>
  </si>
  <si>
    <t>F(1, 45) = 4.58</t>
  </si>
  <si>
    <t>(b) give a higher performance evaluation than a violated team member who does not receive a recovery.</t>
  </si>
  <si>
    <r>
      <t xml:space="preserve">There was a significant effect of recovery on performance evaluations, such that a violated team member that received a
 recovery give higher performance evaluations (M = 4.95, SD = 0.12) than a violated team member who did not receive
 a recovery (M = 4.73, SD = 0.32), F(1, 45) = 5.69, p &lt; .05, eta^2 = .13. </t>
    </r>
    <r>
      <rPr>
        <b/>
      </rPr>
      <t>Therefore, Hypotheses 5a and 5b were 
supported</t>
    </r>
  </si>
  <si>
    <t>F(1, 45) = 5.69</t>
  </si>
  <si>
    <t>Hypothesis 6: When a violated team member receives a recovery, third-party teammates will collectively 
(a) engage in greater supervisor-directed OCBs and</t>
  </si>
  <si>
    <t xml:space="preserve"> There was a significant effect of recovery on supervisor-directed OCBs, such that when a violated team member received
 a recovery, third-party teammates engaged in greater supervisor-directed OCBs (M = 0.79, SD = 0.31) than when a 
violated team member did not receive a recovery (M = 0.55, SD = 0.42), F(1, 45) = 4.60, p &lt; .05, eta^2 =  .1</t>
  </si>
  <si>
    <t>F(1, 45) = 4.60</t>
  </si>
  <si>
    <t>(b) give higher supervisor performance evaluations than when a violated team member does not receive a recovery.</t>
  </si>
  <si>
    <r>
      <t xml:space="preserve">There was a marginally significant effect of recovery on performance evaluations for thirdparty teammates, such that 
when a violated team member received a recovery, third-party teammates gave higher performance evaluations 
M = 4.93, SD = 0.09) than when a violated team member did not receive a recovery (M _x0001_ 4.83, SD _x0001_ 0.14), 
F(1, 45) = 3.44, p = .07, eta^2 = .07.
Therefore, Hypothesis 6a was supported and </t>
    </r>
    <r>
      <rPr>
        <b/>
      </rPr>
      <t>Hypothesis 6b was marginally supported</t>
    </r>
  </si>
  <si>
    <t>F(1, 45) = 3.44</t>
  </si>
  <si>
    <t>p = .07</t>
  </si>
  <si>
    <t>eta^2 = .07.</t>
  </si>
  <si>
    <t>not significant</t>
  </si>
  <si>
    <t xml:space="preserve">Hypothesis 7: Following a recovery of the violated team member, a violated core team member will individually 
(a) engage in greater supervisor-directed OCBs and </t>
  </si>
  <si>
    <r>
      <t xml:space="preserve">There was a </t>
    </r>
    <r>
      <rPr>
        <b/>
      </rPr>
      <t>marginally significant</t>
    </r>
    <r>
      <t xml:space="preserve"> interaction between the violation manipulation and the recovery manipulation on the 
violated team member’s supervisor-directed OCBs, F(1, 45) =  3.62, p = .06, eta^2 = .09</t>
    </r>
  </si>
  <si>
    <t>F(1, 45) = 3.62</t>
  </si>
  <si>
    <t>p = .06,</t>
  </si>
  <si>
    <t>(b) give a higher supervisor performance evaluation than a violated non-core team member.</t>
  </si>
  <si>
    <r>
      <t>However, there was no interaction between the manipulations on the violated team member’s supervisor
performance evaluations. Therefore,</t>
    </r>
    <r>
      <rPr>
        <b/>
      </rPr>
      <t xml:space="preserve"> only Hypothesis 7a received support. </t>
    </r>
  </si>
  <si>
    <t xml:space="preserve">Hypothesis 8: Following a recovery of the violated team member, third-party teammates will collectively (a) engage
 in greater supervisor-directed OCBs and </t>
  </si>
  <si>
    <t xml:space="preserve">There was an interaction between the violation manipulation and the recovery manipulation on third-party 
members’ supervisor-directed OCBs, F(1, 45) = 21.05, p&lt; .001, eta^2 = .36. </t>
  </si>
  <si>
    <t>F(1, 45) = 21.05</t>
  </si>
  <si>
    <t>p&lt; .001</t>
  </si>
  <si>
    <t>eta^2 = .36.</t>
  </si>
  <si>
    <t>(b) give higher supervisor performance evaluations when a core team member was violated and recovered than 
when a non-core team member was violated and recovered.</t>
  </si>
  <si>
    <r>
      <t xml:space="preserve">However, there was no interaction between the manipulations on third-party teammates’ supervisor performance 
evaluations. </t>
    </r>
    <r>
      <rPr>
        <b/>
      </rPr>
      <t>Therefore, only Hypothesis 8a received support.</t>
    </r>
    <r>
      <t xml:space="preserve">
</t>
    </r>
  </si>
  <si>
    <t>https://doi.org/10.1037/a0026953</t>
  </si>
  <si>
    <t>Shoss</t>
  </si>
  <si>
    <t>https://doi.org/10.1037/apl0000257</t>
  </si>
  <si>
    <t>Pitesa</t>
  </si>
  <si>
    <t>https://doi.org/10.1037/a0016172</t>
  </si>
  <si>
    <t>Christian</t>
  </si>
  <si>
    <t>https://doi.org/10.1037/apl0000108</t>
  </si>
  <si>
    <t>Campion</t>
  </si>
  <si>
    <t xml:space="preserve"> https://doi.org/10.1037/0021-9010.92.2.438</t>
  </si>
  <si>
    <t>Podsakoff</t>
  </si>
  <si>
    <t>https://doi.org/10.1037/a0014561</t>
  </si>
  <si>
    <t>Multilevel modeling</t>
  </si>
  <si>
    <t>Atwater</t>
  </si>
  <si>
    <t>https://doi.org/10.1037//0021-9010.86.4.641</t>
  </si>
  <si>
    <t>Horowitz</t>
  </si>
  <si>
    <t>https://doi.org/10.1037//0021-9010.86.1.104</t>
  </si>
  <si>
    <t>Moon</t>
  </si>
  <si>
    <t>Hypothesis 1a. As the level of sunk costs increases, a decision maker will be significantly more willing to invest
further into a progress-related project.</t>
  </si>
  <si>
    <t>Table 2 demonstrates that using the adjusted scenario, the level of sunk cost was significantly related to level of
 commitment, t(1, 338) = 2.26, p &lt; .05, R^2 = .01; thus, Hypothesis 1a was supported.</t>
  </si>
  <si>
    <t>t(1, 338) = 2.26</t>
  </si>
  <si>
    <t>R^2 = .01</t>
  </si>
  <si>
    <t>Hypothesis 1b. The sunk-cost effect on a participant's propensity to continue investment into a project will be 
curvilinear in nature and shaped similarly to a marginal utility model.</t>
  </si>
  <si>
    <t>Therefore, although level of sunk costs demonstrated a curvilinear component, the shape of the curve was different than 
was hypothesized. Therefore, Hypothesis 1b was not supported.</t>
  </si>
  <si>
    <t>Hypothesis 2. As the level of completion increases, a decision maker will be significantly more willing to invest 
further into a progressrelated project.</t>
  </si>
  <si>
    <r>
      <t xml:space="preserve">In keeping with our hypothesis, level of completion was significantly related to level of commitment in the presence of a 
significant sunk-cost effect and after controlling for perceived likelihood of success, t(3, 336) = 3.13, p &lt; .01, R^2 = .02. 
</t>
    </r>
    <r>
      <rPr>
        <b/>
      </rPr>
      <t>Therefore, Hypothesis 2 was supported.</t>
    </r>
  </si>
  <si>
    <t>t(3, 336) = 3.13</t>
  </si>
  <si>
    <t>R^2 = .02</t>
  </si>
  <si>
    <t>Multivariate T-test</t>
  </si>
  <si>
    <t>Hypothesis 3a. Sunk costs will be more strongly related to commitment than completion under low-completion 
conditions but less strongly related to commitment than completion under highcompletion conditions</t>
  </si>
  <si>
    <r>
      <t xml:space="preserve">First, the findings did not demonstrate an interaction between a curvilinear function of sunk costs and completion, 
t(6, 333) = 0.52, p &gt; .05, which was proposed in the marginal utility model. In addition, the plot of the curvilinear sunk-cost
 function does not support the marginal utility model. Therefore, </t>
    </r>
    <r>
      <rPr>
        <b/>
      </rPr>
      <t xml:space="preserve">Hypothesis 3a was not supported. </t>
    </r>
  </si>
  <si>
    <t>t(6, 333) = 0.52</t>
  </si>
  <si>
    <r>
      <t>Hypothesis 3b. Sunk costs will not be related to commitment under low-completion conditions,</t>
    </r>
    <r>
      <rPr>
        <b/>
      </rPr>
      <t xml:space="preserve"> but sunk costs will 
be related to commitment under high-completion conditions</t>
    </r>
  </si>
  <si>
    <r>
      <t xml:space="preserve">Support for a moderation model of the interactive effects of level of sunk costs with level of completion was evidenced by
 regressing sunk costs on commitment at both low, n = 165, F(1, 163) = 1.03, p &gt; .05, ns, and high, n = 175, 
F(1, 173) = 7.39,p &lt; .01, levels of completion. Level of sunk costs was significantly related to level of commitment in the
 high-completion condition only. </t>
    </r>
    <r>
      <rPr>
        <b/>
      </rPr>
      <t>Therefore Hypothesis 3b was supported</t>
    </r>
  </si>
  <si>
    <t>F(1, 173) = 7.39</t>
  </si>
  <si>
    <t>One part of the hypothesis is directed into the other direction</t>
  </si>
  <si>
    <t>https://doi.org/10.1037/ap10000040</t>
  </si>
  <si>
    <t>doi error</t>
  </si>
  <si>
    <t>https://doi.org/10.1037/apl0000162</t>
  </si>
  <si>
    <t>https://doi.org/10.1037/apl0000267</t>
  </si>
  <si>
    <t>Wolfson</t>
  </si>
  <si>
    <t>https://doi.org/10.1037/0021-9010.92.5.1242</t>
  </si>
  <si>
    <t>DeRue</t>
  </si>
  <si>
    <t>https://doi.org/10.1037//0021-9010.85.3.373</t>
  </si>
  <si>
    <t>Wanberg</t>
  </si>
  <si>
    <t>https://doi.org/10.1037//0021-9010.87.2.255</t>
  </si>
  <si>
    <t>Settoon</t>
  </si>
  <si>
    <t>https://doi.org/10.1037/0021-9010.89.2.231</t>
  </si>
  <si>
    <t>Hypothesis 1a: Practice will be positively associated with performance at the within-person level of analysis.</t>
  </si>
  <si>
    <t xml:space="preserve">m the unconditional model for performance scores. In support of Hypotheses 1a and 1b, practice was a significant linear 
and quadratic predictor of performance scores, t(98) = 13.80, p &lt; .001, </t>
  </si>
  <si>
    <t>t(98) = 13.80</t>
  </si>
  <si>
    <t>Hypothesis 1b: The rate of improvement in performance will decline with practice.</t>
  </si>
  <si>
    <t>and t(2866) =  –5.03, p &lt; .001, respectively, indicating that individuals improved their performance with practice 
and diminishing gains.</t>
  </si>
  <si>
    <t>t(2866) = 5.03</t>
  </si>
  <si>
    <t>Hypothesis 2: Effort will be positively associated with performance at the within-person level of analysis.</t>
  </si>
  <si>
    <t>Contrary to Hypothesis 2, effort intensity was not a significant predictor of performance, t(98) = 0.85, p &gt; .05.</t>
  </si>
  <si>
    <t>Hypothesis 3: There will be an interaction between effort and practice at the within-person level, such that the 
relationship between effort and performance will strengthen over time.</t>
  </si>
  <si>
    <t>The interaction between task practice and effort was significant, t(98) = 2.04, p &lt; .05, thus Hypothesis 3 was supported.</t>
  </si>
  <si>
    <t>Hypothesis 4a: Cognitive ability will moderate the relationship between practice and performance, such that 
individuals with higher cognitive ability will improve performance at a faster rate than their lower ability counterparts.</t>
  </si>
  <si>
    <t>Although it appeared that individuals scoring highly on the ability composite learned faster than individuals scoring poorly 
on this composite, this interaction did not reach significance, t(93) = 1.44, p = .15.</t>
  </si>
  <si>
    <t>Hypothesis 4b: There will be a three-way interaction between cognitive ability, effort, and practice. The rate at 
which the relationship between effort and performance changes as a function of practice will be strongest for
individuals with high cognitive ability.</t>
  </si>
  <si>
    <t>?</t>
  </si>
  <si>
    <t>They talk 3 way interaction, but they walk only t-test</t>
  </si>
  <si>
    <t>Hypothesis 5a: Conscientiousness will moderate the relationship between practice and performance, such that 
individuals with low levels of conscientiousness will improve their performance at a faster rate than their counterparts 
with higher levels of conscientiousness.</t>
  </si>
  <si>
    <t>Conscientiousness and performance orientation were also significant predictors, t(93) = –1.96, p &gt; .10,</t>
  </si>
  <si>
    <t>t(93) = 1.96</t>
  </si>
  <si>
    <t>Hypothesis 5b: There will be a three-way interaction between conscientiousness, effort, and practice. The rate at 
which the relationship between effort and performance changes as a function of practice will be strongest for 
individuals with low levels of conscientiousness.</t>
  </si>
  <si>
    <t>The three-way interactions involving conscientiousness, t(94) = –1.32, p &gt; .10, (...) were not significant ?</t>
  </si>
  <si>
    <t>t(94) = 1.32</t>
  </si>
  <si>
    <t>Hypothesis 6a: Learning orientation will moderate the relationship between practice and performance, such that 
individuals with high learning orientation will improve performance at a faster rate than individuals with low learning 
orientation.</t>
  </si>
  <si>
    <r>
      <t xml:space="preserve">Learning orientation </t>
    </r>
    <r>
      <rPr>
        <b/>
      </rPr>
      <t xml:space="preserve">did not moderate </t>
    </r>
    <r>
      <t xml:space="preserve">the relationship between practice and performance, t(93) = 0.94, p &gt; .10. </t>
    </r>
  </si>
  <si>
    <t>t(93) = 0.94</t>
  </si>
  <si>
    <t>Hypothesis 6b: Performance orientation will moderate the relationship between practice and performance, such that
individuals with low performance orientation will improve performance at a faster rate than individuals with high 
performance orientation.</t>
  </si>
  <si>
    <t>and t(93) = –2.04, p &lt; .05, respectively.</t>
  </si>
  <si>
    <t>t(93) = 2.04</t>
  </si>
  <si>
    <t>Hypothesis 6c: There will be a three-way interaction between goal orientation, effort, and practice. The rate at which 
the relationship between effort and performance changes as a function of practice will be strongest for individuals 
with high learning orientation or low performance orientation.</t>
  </si>
  <si>
    <t>Hypothesis 6d: The strength of the interaction between learning orientation and performance orientation will increase 
with practice.</t>
  </si>
  <si>
    <t>https://doi.org/10.1037/0021-9010.92.4.993</t>
  </si>
  <si>
    <t>Detert</t>
  </si>
  <si>
    <r>
      <t xml:space="preserve">Hypothesis 1: </t>
    </r>
    <r>
      <rPr>
        <b/>
        <color rgb="FFFF0000"/>
      </rPr>
      <t>Managerial oversight</t>
    </r>
    <r>
      <t xml:space="preserve"> is negatively associated with counterproductivity.</t>
    </r>
  </si>
  <si>
    <r>
      <rPr>
        <b/>
        <color rgb="FF4A86E8"/>
      </rPr>
      <t>Abusive supervision</t>
    </r>
    <r>
      <t xml:space="preserve"> was positively related to food loss, t(250) = 2.60, p &lt; .01, in support of Hypothesis 1.</t>
    </r>
  </si>
  <si>
    <t>t(250) = 2.60</t>
  </si>
  <si>
    <t>Hypothesis 2: Ethical leadership is negatively associated with counterproductivity.</t>
  </si>
  <si>
    <t>However, ethical leadership was not significantly related to food loss, t(250) = 1.75. Thus, we did not find support for 
Hypothesis 2.</t>
  </si>
  <si>
    <t>t(250) = 1.75</t>
  </si>
  <si>
    <r>
      <t>Hypothesis 3:</t>
    </r>
    <r>
      <rPr>
        <b/>
        <color rgb="FF4A86E8"/>
      </rPr>
      <t xml:space="preserve"> Abusive supervision </t>
    </r>
    <r>
      <t>is positively associated with counterproductivity.</t>
    </r>
  </si>
  <si>
    <r>
      <t xml:space="preserve">Finally, the results show that </t>
    </r>
    <r>
      <rPr>
        <b/>
        <color rgb="FFFF0000"/>
      </rPr>
      <t>managerial oversight</t>
    </r>
    <r>
      <t xml:space="preserve"> was negatively related to food loss, t(250) = -4.73, p &lt; .001, 
supporting Hypothesis 3</t>
    </r>
  </si>
  <si>
    <t>t(250) = 4.73</t>
  </si>
  <si>
    <t>Hypothesis 4A: Counterproductivity is negatively associated with financial performance.</t>
  </si>
  <si>
    <t>In support of Hypothesis 4A, food loss was significantly and negatively related to operating profit, t(249) = -2.78, p &lt; .01</t>
  </si>
  <si>
    <t>t(249) = 2.78</t>
  </si>
  <si>
    <t>Hypothesis 4B: Counterproductivity is negatively associated with customer satisfaction.</t>
  </si>
  <si>
    <t>In support of Hypothesis 4B, food loss was negatively associated with customer satisfaction, t(249) = -3.41, p &lt; .001</t>
  </si>
  <si>
    <t>t(249) = 3.41</t>
  </si>
  <si>
    <t>Hypothesis 5: Counterproductivity mediates the relationships between managerial modes of influence and unit-level 
outcomes: (a) financial performance and</t>
  </si>
  <si>
    <t>Thus, although the results do not meet the more conservative requirements of the Baron and Kenny (1986) test for 
mediation, there is partial support for Hypothesis 5a in that the leadership variables indirectly affected operating profit
through food loss, indicating a form of distal mediation (Shrout &amp; Bolger, 2002).</t>
  </si>
  <si>
    <t>(b) customer satisfaction.</t>
  </si>
  <si>
    <t>However, the Sobel tests for both abusive supervision (Z = 2.57, p &lt; .01) and managerial oversight (Z = 4.62, p &lt;
.001) were again significant, indicating, in partial support of Hypothesis 5b, that these leadership variables indirectly 
affected customer satisfaction through food loss.</t>
  </si>
  <si>
    <t>https://doi.org/10.1037/a0016847</t>
  </si>
  <si>
    <t>Christie</t>
  </si>
  <si>
    <t>https://doi.org/10.1037/a0030076</t>
  </si>
  <si>
    <t>Leroy</t>
  </si>
  <si>
    <t xml:space="preserve"> https://doi.org/10.1037/a0029452</t>
  </si>
  <si>
    <t>Moderation</t>
  </si>
  <si>
    <t>Mitchell</t>
  </si>
  <si>
    <t>https://doi.org/10.1037/a0021882</t>
  </si>
  <si>
    <t>https://doi.org/10.1037/a0018018</t>
  </si>
  <si>
    <t>Bacharach</t>
  </si>
  <si>
    <t>https://doi.org/10.1037//0021-9010.86.1.29</t>
  </si>
  <si>
    <t>Bettencourt</t>
  </si>
  <si>
    <t>https://doi.org/10.1037/a0036192</t>
  </si>
  <si>
    <t>No authorship indicated.</t>
  </si>
  <si>
    <t xml:space="preserve"> https://doi.org/10.1037/a0016115</t>
  </si>
  <si>
    <t>Ferris</t>
  </si>
  <si>
    <t xml:space="preserve"> https://doi.org/10.1037/apl0000140</t>
  </si>
  <si>
    <t>Rosen</t>
  </si>
  <si>
    <t>Hypothesis 1: On a daily basis, experiencing incivility at work will be positively related to a decrease in self-control.</t>
  </si>
  <si>
    <t>Hypothesis 2: The daily positive relation of experiencing incivility with diminished self-control will be stronger for
employees who perceive high (vs. low) levels of politics.</t>
  </si>
  <si>
    <t>Hypothesis 3: On a daily basis, experiencing decreased selfcontrol will be positively related to an increase in 
instigated incivility.</t>
  </si>
  <si>
    <t>Hypothesis 4: The daily positive relation of diminished selfcontrol with instigated incivility will be weaker for 
employees who have a high (vs. low) construal level</t>
  </si>
  <si>
    <t xml:space="preserve">Hypothesis 5: The indirect effect of experienced incivility on instigated incivility via diminished self-control will be 
stronger for employees who (a) perceive high (vs. low) levels of politics, </t>
  </si>
  <si>
    <t>the difference between these two indirect effects was significant (95% CI [.001, .015]).</t>
  </si>
  <si>
    <t>(0.001, 0.015)</t>
  </si>
  <si>
    <t>and (b) have a low (vs. high) level of construal</t>
  </si>
  <si>
    <t>these indirect effects were also significantly different from one another (95% CI [-.019, -.001].</t>
  </si>
  <si>
    <t>(-0.019, -0.001)</t>
  </si>
  <si>
    <t>https://doi.org/10.1037/0021-9010.93.2.235</t>
  </si>
  <si>
    <t>Avery</t>
  </si>
  <si>
    <t>https://doi.org/10.1037/0021-9010.92.4.1084</t>
  </si>
  <si>
    <t>Frese (Garst)</t>
  </si>
  <si>
    <t>https://doi.org/10.1037/a0030887</t>
  </si>
  <si>
    <t>Unsure, not experimetal</t>
  </si>
  <si>
    <t>Putka</t>
  </si>
  <si>
    <t>https://doi.org/10.1037/0021-9010.85.3.417</t>
  </si>
  <si>
    <t>Garst</t>
  </si>
  <si>
    <t xml:space="preserve"> https://doi.org/10.1037/0021-9010-92.1.44</t>
  </si>
  <si>
    <t>https://doi.org/10.1037//0021-9010.85.4.551</t>
  </si>
  <si>
    <t>Buffardi</t>
  </si>
  <si>
    <t>https://doi.org/10.1037/a0016285</t>
  </si>
  <si>
    <t>Zhou</t>
  </si>
  <si>
    <t xml:space="preserve"> https://doi.org/10.1037//0021-9010.87.1.143</t>
  </si>
  <si>
    <t>https://doi.org/10.1037/0021-9010.90.3.431</t>
  </si>
  <si>
    <t>Heilman</t>
  </si>
  <si>
    <t>Hypothesis 1. Engaging in altruistic citizenship behavior will enhance men’s performance evaluations and reward 
recommendations but will not affect those of women.</t>
  </si>
  <si>
    <t>Also, consistent with our hypotheses, there was a significant Target Sex X Altruism interaction,
F(2, 129) = 4.80, p &lt; .05, eta^2 = .07.</t>
  </si>
  <si>
    <t>F(2, 129) = 4.80</t>
  </si>
  <si>
    <t>eta^ 2 = .07</t>
  </si>
  <si>
    <t>Hypothesis 2. Withholding altruistic citizenship behavior will be detrimental to women’s performance evaluations
and reward recommendations but will not affect those of men.</t>
  </si>
  <si>
    <t xml:space="preserve">and a significant interaction between the two, F(2, 129) = 5.22, p &lt; .01, eta^ 2 = .08. </t>
  </si>
  <si>
    <t>F(2, 129) = 5.22</t>
  </si>
  <si>
    <t>eta^ 2 = .08</t>
  </si>
  <si>
    <t xml:space="preserve">There was also a significant Target Sex x Altruism interaction, F(2, 93) = 8.17, p &lt; .001, eta^ 2 = .15. </t>
  </si>
  <si>
    <t>F(2, 93) = 8.17</t>
  </si>
  <si>
    <t>eta^ 2 = .15</t>
  </si>
  <si>
    <t xml:space="preserve">The interaction effect did not reach standard levels of significance, F(2, 93) = 2.73, ns. </t>
  </si>
  <si>
    <t>F(2, 93) = 2.73</t>
  </si>
  <si>
    <t xml:space="preserve"> https://doi.org/10.1037/0021-9010.91.6.1245</t>
  </si>
  <si>
    <t>Commentary</t>
  </si>
  <si>
    <t>https://doi.org/10.1037/a0015899</t>
  </si>
  <si>
    <t>Model testing (with beautiful figures)</t>
  </si>
  <si>
    <t>https://doi.org/10.1037/ap10000195</t>
  </si>
  <si>
    <t>https://doi.org/10.1037/0021-9010.85.1.143</t>
  </si>
  <si>
    <t>correlational</t>
  </si>
  <si>
    <t>https://doi.org/10.1037/apl0000278</t>
  </si>
  <si>
    <t>no</t>
  </si>
  <si>
    <t>parke</t>
  </si>
  <si>
    <t>https://doi.org/10.1037/a0023254</t>
  </si>
  <si>
    <t>zhang</t>
  </si>
  <si>
    <t>https://doi.org/10.1037//0021-9010.87.1.14</t>
  </si>
  <si>
    <t>Kinicki</t>
  </si>
  <si>
    <t>https://doi.org/10.1037/0021-9010.91.2.490</t>
  </si>
  <si>
    <t>Bainbridge</t>
  </si>
  <si>
    <t>https://doi.org/10.1037/a0038755</t>
  </si>
  <si>
    <t>Luksyte</t>
  </si>
  <si>
    <t>Hypothesis 1: Coworker presenteeism is related negatively to employee physical engagement</t>
  </si>
  <si>
    <r>
      <t xml:space="preserve">Contrary to Hypotheses 1 and 2, coworker presenteeism was not related to physical engagement
 </t>
    </r>
    <r>
      <rPr>
        <i/>
      </rPr>
      <t>(</t>
    </r>
    <r>
      <t>y = .03, SE = .08, t = - .45, p = .66)</t>
    </r>
  </si>
  <si>
    <t>t(80) = 0.45</t>
  </si>
  <si>
    <t>p = .66</t>
  </si>
  <si>
    <t>Hypothesis 2: Coworker presenteeism is related positively to employee deviance.</t>
  </si>
  <si>
    <t xml:space="preserve"> or deviance (y = .12, SE = .07, t = 1.64, p = .10). </t>
  </si>
  <si>
    <t>t(80) = 1.64</t>
  </si>
  <si>
    <t>p = 0.10</t>
  </si>
  <si>
    <t>Hypothesis 3: Similarity in: (a) sex moderates the negative relationship between coworker presenteeism and 
employee physical engagement such that it is stronger when the coworker and employee are similar in sex and race</t>
  </si>
  <si>
    <r>
      <t>Consistent with Hypothesis 3 and as shown in Table 3, the coworker presenteeism-physical engagement link was 
moderated by sex (</t>
    </r>
    <r>
      <rPr>
        <i/>
      </rPr>
      <t xml:space="preserve">y = </t>
    </r>
    <r>
      <t>.27, SE = .12, t = -2.25, p = .03) and race similarity (</t>
    </r>
    <r>
      <rPr>
        <i/>
      </rPr>
      <t xml:space="preserve">y  = </t>
    </r>
    <r>
      <t>.25, SE = .12, t = -2.01, p &lt; .05).</t>
    </r>
  </si>
  <si>
    <t>t(80) = 2.25</t>
  </si>
  <si>
    <t>(b) Similarity in race moderates the negative relationship between coworker presenteeism and employee physical 
engagement such that it is stronger when the coworker and employee are similar in sex and race</t>
  </si>
  <si>
    <t>race similarity (y = .25, SE = .12, t = -2.01, p &lt; .05).</t>
  </si>
  <si>
    <t>t(80) = 2.01</t>
  </si>
  <si>
    <t>Hypothesis 4: Similarity in: (a) sex moderates the positive relationship between coworker presenteeism and
 employee deviance such that it is stronger when the co-worker and employee are similar in sex and race.</t>
  </si>
  <si>
    <r>
      <rPr>
        <b/>
      </rPr>
      <t>Unexpectedly</t>
    </r>
    <r>
      <t>, the coworker presenteeism-deviance link was not moderated by sex similarity 
(gamma = .14, SE = .10, t = 1.32, p = .19), thereby failing to support Hypothesis 4a.</t>
    </r>
  </si>
  <si>
    <t>t(80) = 1.32</t>
  </si>
  <si>
    <t>p = .19</t>
  </si>
  <si>
    <t>(Hypothesis 4b: Similarity in race moderates the positive relationship between coworker presenteeismand
 employee deviance such that it is stronger when the co-worker and employee are similar in sex and race.</t>
  </si>
  <si>
    <r>
      <t xml:space="preserve">Hypothesis 4 predicted that the positive relationship between coworker presenteeism and deviance would be stronger 
for similar (in sex and race) team members. </t>
    </r>
    <r>
      <rPr>
        <b/>
      </rPr>
      <t xml:space="preserve">Supporting </t>
    </r>
    <r>
      <t>Hypothesis 4b, the linkage between coworker presenteeism and 
deviance was moderated by race similarity (</t>
    </r>
    <r>
      <rPr>
        <i/>
      </rPr>
      <t xml:space="preserve">y = </t>
    </r>
    <r>
      <t>.21, SE = .11, t = 1.95, p &lt;/= .05; Table 4).</t>
    </r>
  </si>
  <si>
    <t>t(80) = 1.95</t>
  </si>
  <si>
    <t>Hypothesis 5: The indirect effect of coworker presenteeism on employee physical engagement through emotional 
reactions is stronger when there is greater similarity between the coworker and employee in terms of (a) sex and 
(b) race.</t>
  </si>
  <si>
    <t>not tested;  "but not sex similarity and, thus, we tested the mediated moderation only for race similarity"</t>
  </si>
  <si>
    <t>(b) race.</t>
  </si>
  <si>
    <t>The difference was statistically significant for both physical engagement (.14, 99% CI = .001 to .34; Table 6) and deviance 
(.08, 95% CI = .18 to .004).</t>
  </si>
  <si>
    <t>(.001 to .34)</t>
  </si>
  <si>
    <t>Hypothesis 6: The indirect effect of coworker presenteeism on employee deviance through emotional reactions is   
stronger when there is greater similarity between the coworker and employee in terms of (a) sex and (b) race.</t>
  </si>
  <si>
    <t>not tested</t>
  </si>
  <si>
    <t>and deviance (.08, 95% CI = .18 to .004)</t>
  </si>
  <si>
    <t xml:space="preserve"> (.18 to .004)</t>
  </si>
  <si>
    <t>https://doi.org/10.1037/apl0000321</t>
  </si>
  <si>
    <t>Shilke</t>
  </si>
  <si>
    <t>https://doi.org/10.1037//0021-9010.86.3.451</t>
  </si>
  <si>
    <t xml:space="preserve">Model testing </t>
  </si>
  <si>
    <t>Schmitt</t>
  </si>
  <si>
    <t>https://doi.org/10.1037/apl0000190</t>
  </si>
  <si>
    <t>https://doi.org/10.1037//0021-9010.87.6.1175</t>
  </si>
  <si>
    <t>https://doi.org/10.1037/0021-9010.90.4.710</t>
  </si>
  <si>
    <t>Method</t>
  </si>
  <si>
    <t>MacKenzie</t>
  </si>
  <si>
    <t>https://doi.org/10.1037/apl0000036</t>
  </si>
  <si>
    <t>Martinez</t>
  </si>
  <si>
    <t>Hypothesis 1: Cancer survivors will be rated higher in perceived warmth than in perceived competence.</t>
  </si>
  <si>
    <t xml:space="preserve">In support of Hypothesis 1, these individuals with a history of cancer were rated higher in warmth (M = 3.96, SD = 0.63) 
than in competence (M = 3.54, SD = 0.73), t(65) = 4.57, p &lt; .001, d = 0.56. </t>
  </si>
  <si>
    <t>t(65) = 4.57</t>
  </si>
  <si>
    <t>d = 0.56</t>
  </si>
  <si>
    <t>Hypothesis 2: Hiring personnel will engage in more passive harm behaviors toward applicants with a history
 (vs. no history) of cancer. These behaviors include negative interpersonal interactions (Hypothesis 2a), 
communicating lower job availability (Hypothesis 2b), and engaging in fewer callbacks (Hypothesis 2c) compared 
with applicants without a history of cancer.</t>
  </si>
  <si>
    <t xml:space="preserve">Consistent with Hypothesis 2a, applicants in the cancer disclosure condition reported significantly more passive harm 
from the hiring personnel (M = 3.21, SD = .97) compared with applicants in the control condition (M = 2.34, SD = 0.81),
 F(1, 119) = 30.89, p &lt; .001, eta^2 = .21. </t>
  </si>
  <si>
    <t>F(1, 119) = 30.89</t>
  </si>
  <si>
    <t>eta^2 = .21</t>
  </si>
  <si>
    <t>communicating lower job availability (Hypothesis 2b) compared with applicants without a history of cancer.</t>
  </si>
  <si>
    <t>engaging in fewer callbacks (Hypothesis 2c) compared with applicants without a history of cancer.</t>
  </si>
  <si>
    <t>https://doi.org/10.1037/0021-9010.89.1.158</t>
  </si>
  <si>
    <t>https://doi.org/10.1037/0021-9010.93.4.922</t>
  </si>
  <si>
    <t>https://doi.org/10.1037/0021-9010.88.6.1104</t>
  </si>
  <si>
    <t>Requested at RQ</t>
  </si>
  <si>
    <t>Rogelberg</t>
  </si>
  <si>
    <t>https://doi.org/10.1037/a0013746</t>
  </si>
  <si>
    <t>Curhan</t>
  </si>
  <si>
    <t>Hypothesis 1: Levels of subjective value are highly consistent over time.</t>
  </si>
  <si>
    <t>In support of Hypothesis 1, SV had high consistency across the two surveys (r = .74),</t>
  </si>
  <si>
    <t>Hypothesis 2: High subjective value in job offer negotiations predicts more positive future job attitudes.</t>
  </si>
  <si>
    <t>In support of Hypothesis 2, Table 4 contains the results of regression models predicting job attitudes, in which greater SV
reported shortly after a job negotiation predicts greater compensation satisfaction, greater job satisfaction, and lower 
turnover intention a year later.</t>
  </si>
  <si>
    <t>Hypothesis 3: The association between subjective value and future job attitudes will be stronger than the association 
between economic value of concessions and future job attitudes.</t>
  </si>
  <si>
    <t xml:space="preserve"> Wald tests indicate that these regression coefficients for SV and concession values differed significantly for 
compensation satisfaction, F(1, 58) = 7.68, p &lt; .01,</t>
  </si>
  <si>
    <t>F(1, 58) = 7.68</t>
  </si>
  <si>
    <t xml:space="preserve"> but not for turnover intention, F(1, 58) = 2.75, p≤.10 </t>
  </si>
  <si>
    <t>F(1, 58) = 2.75</t>
  </si>
  <si>
    <t>p ≤ .10</t>
  </si>
  <si>
    <t xml:space="preserve">or job satisfaction, F(1, 58) = 2.08, p=.16, all values two-tailed.  </t>
  </si>
  <si>
    <t>F(1, 58) = 2.08</t>
  </si>
  <si>
    <t>p = .16</t>
  </si>
  <si>
    <t>https://doi.org/10.1037/a0027934</t>
  </si>
  <si>
    <t>Meade</t>
  </si>
  <si>
    <t>https://doi.org/10.1037/a0020373</t>
  </si>
  <si>
    <t>Greer</t>
  </si>
  <si>
    <t>https://doi.org/10.1037/apl0000002</t>
  </si>
  <si>
    <t>https://doi.org/10.1037//0021-9010.85.3.439</t>
  </si>
  <si>
    <t>Bishop</t>
  </si>
  <si>
    <t>https://doi.org/10.1037/a0020073</t>
  </si>
  <si>
    <t>Reply</t>
  </si>
  <si>
    <t>Kish-Gepart</t>
  </si>
  <si>
    <t xml:space="preserve"> https://doi.org/10.1037//0021-9010.86.4.684</t>
  </si>
  <si>
    <t>Sturman</t>
  </si>
  <si>
    <t>https://doi.org/10.1037/apl0000169</t>
  </si>
  <si>
    <t>Litwiller</t>
  </si>
  <si>
    <t>https://doi.org/10.1037//0021-9010.86.1.154</t>
  </si>
  <si>
    <t>Aryee</t>
  </si>
  <si>
    <t>https://doi.org/10.1037/apl0000104</t>
  </si>
  <si>
    <t>Huhlsheger</t>
  </si>
  <si>
    <t>https://doi.org/10.1037/a0019298</t>
  </si>
  <si>
    <t>Johnsson</t>
  </si>
  <si>
    <t>https://doi.org/10.1037//0021-9010.85.2.284</t>
  </si>
  <si>
    <r>
      <t xml:space="preserve">Hypothesis 1 states that </t>
    </r>
    <r>
      <rPr>
        <b/>
      </rPr>
      <t>noncompliant individuals</t>
    </r>
    <r>
      <t>, in comparison with those</t>
    </r>
    <r>
      <rPr>
        <b/>
      </rPr>
      <t xml:space="preserve"> individuals who say they would 
comply </t>
    </r>
    <r>
      <t>with a survey request, will possess</t>
    </r>
    <r>
      <rPr>
        <b/>
      </rPr>
      <t xml:space="preserve"> less organizational commitment and less job satisfaction</t>
    </r>
  </si>
  <si>
    <t>Anticipated noncompliants, in comparison with anticipated respondents, were significantly less committed to their 
organization, t(181) = 2.56, p &lt; .05, d = .51</t>
  </si>
  <si>
    <t>t(181) = 2.56</t>
  </si>
  <si>
    <t>d = .51</t>
  </si>
  <si>
    <t>less satisfied with their work, t(181) = 2.58, p &lt; .05, d = 0.51</t>
  </si>
  <si>
    <t>t(181) = 2.58</t>
  </si>
  <si>
    <r>
      <t xml:space="preserve">Hypothesis 2 states that intentions to </t>
    </r>
    <r>
      <rPr>
        <b/>
      </rPr>
      <t xml:space="preserve">quit will be related to survey noncompliance </t>
    </r>
    <r>
      <t xml:space="preserve">such that </t>
    </r>
    <r>
      <rPr>
        <b/>
      </rPr>
      <t>noncompliants</t>
    </r>
    <r>
      <t xml:space="preserve"> will 
</t>
    </r>
    <r>
      <rPr>
        <b/>
      </rPr>
      <t>possess greater intentions to quit than compliants</t>
    </r>
  </si>
  <si>
    <t xml:space="preserve"> Anticipated noncompliants reported greater intentions to quit, t(179) = -2.53,p &lt; .05, d = 0.5</t>
  </si>
  <si>
    <t>t(179) = 2.53</t>
  </si>
  <si>
    <t>d = .50</t>
  </si>
  <si>
    <r>
      <t>Hypothesis 3 states that n</t>
    </r>
    <r>
      <rPr>
        <b/>
      </rPr>
      <t>oncompliants will possess more negative beliefs</t>
    </r>
    <r>
      <t xml:space="preserve"> regarding how their</t>
    </r>
    <r>
      <rPr>
        <b/>
      </rPr>
      <t xml:space="preserve"> organization 
handles survey data. </t>
    </r>
  </si>
  <si>
    <t xml:space="preserve"> less positive beliefs regarding their organizations' handling of survey data than anticipated respondents,
 t(151) = 4.60, p &lt; .05, d = 1.05</t>
  </si>
  <si>
    <t xml:space="preserve"> t(151) = 4.60</t>
  </si>
  <si>
    <t>d = 1.05</t>
  </si>
  <si>
    <t>https://doi.org/10.1037/a0034317</t>
  </si>
  <si>
    <t>Baysinger</t>
  </si>
  <si>
    <t>https://doi.org/10.1037/a0038082</t>
  </si>
  <si>
    <t>Trougakos</t>
  </si>
  <si>
    <t>H1: Surface acting earlier in the day is positively related to end of day exhaustion.</t>
  </si>
  <si>
    <t>Surface acting in the afternoon was a significant positive predictor of end of day exhaustion, B = .43, z = 5.99, p &lt; .05, 
supporting H1.</t>
  </si>
  <si>
    <t>z = 5.99</t>
  </si>
  <si>
    <t>* Hypothesis 5 is mentioned in the result section as "our final hypothesis", tested in the same block of text</t>
  </si>
  <si>
    <t>H2a: End of day exhaustion is negatively related to ratings of OCBIs.</t>
  </si>
  <si>
    <t>Exhaustion at the end of the day was a significant negative predictor of co-worker ratings of OCBIs, B = -.09, z = -2.41, 
p &lt; .05, whereas exhaustion was a non-significant predictor of self-rated task performance, B = .01, z = -.11, p = .91, 
supporting H2</t>
  </si>
  <si>
    <t>z = 2.41</t>
  </si>
  <si>
    <t>H2b: The effect of end of day exhaustion on ratings of OCBI will be significantly different (more negative) than the 
effect of end of day exhaustion on task performance.</t>
  </si>
  <si>
    <t xml:space="preserve">self-rated task performance, B = .01, z = -.11, p = .91, </t>
  </si>
  <si>
    <t>z = 0.11</t>
  </si>
  <si>
    <t>p = .91</t>
  </si>
  <si>
    <t>H3: Surface acting earlier in the day is indirectly related to ratings of OCBIs through its influence on end of day 
exhaustion.</t>
  </si>
  <si>
    <t>H4: The positive within-person relation between surface acting and end of day 
exhaustion is moderated by chronic emotional exhaustion, such that the relation is 
stronger when chronic emotional exhaustion is higher.</t>
  </si>
  <si>
    <t>Results suggested the difference between the two path coefficients approached conventional levels of significance, 
ΔLL (1) = 2.88, p = .09, providing further, but provisional support for H4.</t>
  </si>
  <si>
    <t>https://doi.org/10.1037/0021-9010.93.2.358</t>
  </si>
  <si>
    <t>Scale development</t>
  </si>
  <si>
    <t>Eby</t>
  </si>
  <si>
    <t>https://doi.org/10.1037/a0024868</t>
  </si>
  <si>
    <t>https://doi.org/10.1037/a0014975</t>
  </si>
  <si>
    <t>https://doi.org/10.1037/0021-9010.93.1.170</t>
  </si>
  <si>
    <t>Behfar</t>
  </si>
  <si>
    <t>https://doi.org/10.1037/apl0000263</t>
  </si>
  <si>
    <t>Kappes</t>
  </si>
  <si>
    <t>Hypothesis 1: 
Individuals who see job postings composed of attribute qualifications will
believe they are more deserving of being hired, and deserve to be paid more, than
individuals who see job postings composed of past action qualifications.</t>
  </si>
  <si>
    <t xml:space="preserve">Similarly, participants differed in the extent to which they felt they 
deserved the job .2 across the three ad types, 
F(2, 447) = 26.02, p &lt; .001, = .10 (Table 2).
</t>
  </si>
  <si>
    <t>F(2, 447) = 26.02</t>
  </si>
  <si>
    <t>Split NHST; if one is true, the other has to be false but here, it does not
matter which one is false, the other or none will be true;
They have created their own outliers "Approximately 16% of respondents had given answers
less than 1000 which were presumably shorthand; these responses were multiplied by 1000";
Not answering H1 and H2; overpopulated study</t>
  </si>
  <si>
    <t>As predicted, entitlement beliefs about salary differed by qualification 
condition, F(2, 449) = 3.09, p = .047, η2partial = .014 (Table 2).</t>
  </si>
  <si>
    <t>F(2, 449) = 3.09</t>
  </si>
  <si>
    <t>Hypothesis 2: 
Individuals who see job postings composed of future action qualifications 
will believe they are more deserving of being hired, and deserve to be paid more, 
than individuals who see job postings composed of past action qualifications.</t>
  </si>
  <si>
    <t xml:space="preserve">Similarly, participants differed in the extent to which they felt they 
deserved the job .2 across the three ad types, 
F(2, 447) = 26.02, p &lt; .001, = .10 (Table 2).
</t>
  </si>
  <si>
    <t>As predicted, entitlement beliefs about salary differed by qualification 
condition, F(2, 449) = 3.09, p = .047, η2partial = .014 (Table 2).</t>
  </si>
  <si>
    <t>Hypothesis 3: Individuals will believe they are more deserving of being hired, and
deserve to be paid more, compared to yoked observers who are privy to information
about which qualifications the individual satisfies.</t>
  </si>
  <si>
    <t>As predicted, there was a main effect of perceiver, F(1, 435) = 36.81, 
p &lt; .001, η2partial = .078; across conditions, participants felt more 
deserving of being hired than yoked observers judged them to be.</t>
  </si>
  <si>
    <t>F(1, 435) = 36.81</t>
  </si>
  <si>
    <t>https://doi.org/10.1037/a0034745</t>
  </si>
  <si>
    <t>Brooks</t>
  </si>
  <si>
    <t>Hypothesis 1: An effect communicated using the BESD or the CLES will be perceived as more understandable than 
when communicated using the correlation coefficient.</t>
  </si>
  <si>
    <t>Understandability F(1.87, 184.90) = 29.00 p &lt; .05 eta^2 = .23 ( Mauchly’s test of sphericity was
violated, chi^2 = 7.20, p &lt; .05.)</t>
  </si>
  <si>
    <t>Hypothesis 2: A program will be perceived as more effective when effect size information is presented using the 
BESD or the CLES than when effect size information is described using a correlation coefficient.</t>
  </si>
  <si>
    <t>Effectiveness F(2, 198) = 25.28 p &lt; .05 eta^2 =  .20</t>
  </si>
  <si>
    <t>F(2, 198) = 25.28</t>
  </si>
  <si>
    <t>eta^2 = .20</t>
  </si>
  <si>
    <t>Hypothesis 1: An effect communicated using the BESD or the CLES will be perceived as more understandable than
when communicated using the correlation coefficient or the coefficient of determination.</t>
  </si>
  <si>
    <t xml:space="preserve">Understandability F(1, 319) = 94.50 p &lt; .05, eta^2 = .23 </t>
  </si>
  <si>
    <t>F(1, 319) = 94.50</t>
  </si>
  <si>
    <t>d = 0.51</t>
  </si>
  <si>
    <t>Hypothesis 2: Effect size information communicated using the BESD or the CLES will be perceived as more useful
 than effect size information communicated using the correlation coefficient or the coefficient of determination.</t>
  </si>
  <si>
    <t xml:space="preserve">Usefulness F(1, 319) = 9.03 p &lt; .05, eta^2 = .03 </t>
  </si>
  <si>
    <t>F(1, 319) = 9.03</t>
  </si>
  <si>
    <t>Hypothesis 3: A training program will be judged as more effective when effect size information is presented using 
the BESD or the CLES than when effect size information is described using a correlation coefficient or coefficient 
of determination</t>
  </si>
  <si>
    <t>Effectiveness F(1, 319) = 23.28 p &lt; .05, eta^2 = .07</t>
  </si>
  <si>
    <t>F(1, 319) = 23.28</t>
  </si>
  <si>
    <t>Hypothesis 4: People will be willing to pay more for a program when its effectiveness is described using the BESD 
or CLES than when its effectiveness is described using the correlation coefficient or coefficient of determination.</t>
  </si>
  <si>
    <t>Results suggest that, as expected, indicator type had a significant effect on participants’ willingness to pay for
the training (z = 3.38, p &lt; .05, r =  .20)</t>
  </si>
  <si>
    <t>z = 3.38</t>
  </si>
  <si>
    <t>r =  .20</t>
  </si>
  <si>
    <t>Hypothesis 5: A program described as having a larger effect will be perceived as more effective than the same 
product described as having a smaller effect</t>
  </si>
  <si>
    <t>However, as hypothesized, effect size magnitude significantly affected participants’ perceptions of effectiveness, 
F(2, 226) = 3.62, p = .03, partial eta^2 = .05</t>
  </si>
  <si>
    <t>F(2, 226) = 3.62</t>
  </si>
  <si>
    <t xml:space="preserve"> p = .03</t>
  </si>
  <si>
    <t>eta^2 = .05</t>
  </si>
  <si>
    <t>Hypothesis 6: People will be willing to pay more for a program described as having a larger effect than the same 
service described as having a smaller effect</t>
  </si>
  <si>
    <t xml:space="preserve">Results suggest that effect size did not significantly affect participants’ willingness to pay for the training, 
H(2) = 4.72, ns.Therefore, Hypothesis 6 was not supported. </t>
  </si>
  <si>
    <t>https://doi.org/10.1037/0021-9010.92.3.820</t>
  </si>
  <si>
    <t>Tetrick</t>
  </si>
  <si>
    <t>https://doi.org/10.1037/a0028970</t>
  </si>
  <si>
    <t>Lambert</t>
  </si>
  <si>
    <t>https://doi.org/10.1037/apl0000236</t>
  </si>
  <si>
    <t>Sackett</t>
  </si>
  <si>
    <t>https://doi.org/10.1037/a0020923</t>
  </si>
  <si>
    <t>https://doi.org/10.1037/a0026701</t>
  </si>
  <si>
    <t>Dimotakis</t>
  </si>
  <si>
    <t>https://doi.org/10.1037/0021-9010.90.3.509</t>
  </si>
  <si>
    <t>https://doi.org/10.1037/apl0000046</t>
  </si>
  <si>
    <t>Qualitative study</t>
  </si>
  <si>
    <t>Wilhelmy</t>
  </si>
  <si>
    <t>https://doi.org/10.1037/apl0000301</t>
  </si>
  <si>
    <t>Lebel</t>
  </si>
  <si>
    <t>Hypothesis 2a: Prosocial motivation moderates the negative relationship between employee perceptions of 
discouraging supervisor behavior and felt responsibility for change, such the relationship is weaker when prosocial 
motivation is high versus low.</t>
  </si>
  <si>
    <t>there was a significant interactive effect on felt responsibility for change between distrust in supervisor and prosocial 
motivation (b = .08, t = 2.59, p &lt; .01), and on voice efficacy (b = .09, t = 3.68, p &lt; .001).</t>
  </si>
  <si>
    <t>t(396) = 2.59</t>
  </si>
  <si>
    <t>Hypothesis 2b: Prosocial motivation moderates the negative relationship between employee perceptions of
discouraging supervisor behaviors and efficacy to be proactive, such that the relationship is weaker when prosocial 
motivation is high versus low.</t>
  </si>
  <si>
    <t>on voice efficacy (b = .09, t = 3.68, p &lt; .001).</t>
  </si>
  <si>
    <t>t(396) = 3.68</t>
  </si>
  <si>
    <t>https://doi.org/10.1037/0021-9010.89.1.14</t>
  </si>
  <si>
    <t>Comment</t>
  </si>
  <si>
    <t>Stewart Jr.</t>
  </si>
  <si>
    <t>https://doi.org/10.1037/0021-9010.92.1.81</t>
  </si>
  <si>
    <r>
      <t xml:space="preserve">Hypothesis: Female managers who are successful in male gender-typed jobs will be </t>
    </r>
    <r>
      <rPr>
        <b/>
      </rPr>
      <t>more</t>
    </r>
    <r>
      <t xml:space="preserve"> </t>
    </r>
    <r>
      <rPr>
        <b/>
      </rPr>
      <t>disliked</t>
    </r>
    <r>
      <t xml:space="preserve">, elicit more 
</t>
    </r>
    <r>
      <rPr>
        <b/>
      </rPr>
      <t>negative interpersonal characterizations</t>
    </r>
    <r>
      <t xml:space="preserve">, and be </t>
    </r>
    <r>
      <rPr>
        <b/>
      </rPr>
      <t>less preferred as bosses</t>
    </r>
    <r>
      <t xml:space="preserve"> than similarly successful male 
managers unless information about their communality is provided.</t>
    </r>
  </si>
  <si>
    <t>In addition, a significant Sex of Target X Type of Information interaction was obtained, 
F(2, 72) = 8.44, p &lt; .005 (eta^2 = .19)</t>
  </si>
  <si>
    <t>F(2, 72) = 8.44</t>
  </si>
  <si>
    <t>p &lt; .005</t>
  </si>
  <si>
    <t>negative interpersonal characterizations</t>
  </si>
  <si>
    <t>and a significant Sex of Target X Information Condition interaction, F(2, 72) = 8.05, p &lt; .005 (eta^2 = .18).</t>
  </si>
  <si>
    <t>F(2, 72) = 8.05</t>
  </si>
  <si>
    <t>eta^2 = .18</t>
  </si>
  <si>
    <t>less preferred as bosses</t>
  </si>
  <si>
    <t>A significant effect was also obtained for the Sex of Target X Type of Information interaction, 
F(2, 72) = 5.71, p &lt; .01 (eta^2 = .14).</t>
  </si>
  <si>
    <t>F(2, 72) = 5.71</t>
  </si>
  <si>
    <t>eta^2 = .14</t>
  </si>
  <si>
    <t>Hypothesis: Communal information will mitigate the dislike, negative characterizations, and undesirability as a boss 
of successful female managers as compared with successful male managers only when it is clear that the 
communality originates from them and is not ambiguous with respect to its source.</t>
  </si>
  <si>
    <t>as well as a significant Sex of Target x Type of Information interaction, F(2, 69) _x0003_ 8.37, p _x0004_ .005 (eta^2 = .20).</t>
  </si>
  <si>
    <t xml:space="preserve"> F(2, 69) = 8.37</t>
  </si>
  <si>
    <t xml:space="preserve"> a significant Sex of Target x Information Condition interaction, F(2, 69) = 6.35, p &lt; .005 (eta^2 = .16)</t>
  </si>
  <si>
    <t>F(2, 69) = 6.35</t>
  </si>
  <si>
    <t>eta^2 = .16</t>
  </si>
  <si>
    <t xml:space="preserve">However, a significant effect was found for the Sex of Target x Type of Information interaction, 
F(2, 69) = 3.70, p &lt; .05 (eta^2 = .10). </t>
  </si>
  <si>
    <t>F(2, 69) = 3.70</t>
  </si>
  <si>
    <r>
      <t xml:space="preserve">Hypothesis: 
- </t>
    </r>
    <r>
      <rPr>
        <b/>
      </rPr>
      <t>Female managers</t>
    </r>
    <r>
      <t xml:space="preserve"> who are successful in male gender-typed jobs </t>
    </r>
    <r>
      <rPr>
        <b/>
      </rPr>
      <t>will be</t>
    </r>
    <r>
      <t xml:space="preserve"> </t>
    </r>
    <r>
      <rPr>
        <b/>
      </rPr>
      <t>disliked more,</t>
    </r>
    <r>
      <t xml:space="preserve">
- </t>
    </r>
    <r>
      <rPr>
        <b/>
      </rPr>
      <t>will elicit more negative interpersonal characterizations</t>
    </r>
    <r>
      <t xml:space="preserve">, 
- and will be found </t>
    </r>
    <r>
      <rPr>
        <b/>
      </rPr>
      <t>less desirable as bosses</t>
    </r>
    <r>
      <t xml:space="preserve"> than</t>
    </r>
    <r>
      <rPr>
        <b/>
      </rPr>
      <t xml:space="preserve"> similarly successful male </t>
    </r>
    <r>
      <t xml:space="preserve">managers 
</t>
    </r>
    <r>
      <rPr>
        <b/>
      </rPr>
      <t>when information about parental status is not provided rather than when information about parental 
status is provided.</t>
    </r>
    <r>
      <t xml:space="preserve">
</t>
    </r>
  </si>
  <si>
    <t xml:space="preserve">as well as a significant Sex of Target x Parental Status interaction, F(1, 44) = 8.44, p &lt; .01 (eta^2 = .16). </t>
  </si>
  <si>
    <t>F(1, 44) = 8.44</t>
  </si>
  <si>
    <t xml:space="preserve">- will elicit more negative interpersonal characterizations, </t>
  </si>
  <si>
    <t>as well as a significant Sex of Target x Parental Status Information interaction, F(1, 44) = 7.22, p &lt; .01 (eta^2 = .14).</t>
  </si>
  <si>
    <t>F(1, 44) = 7.22</t>
  </si>
  <si>
    <t>and will be found less desirable as bosses than similarly successful male managers 
when information about parental status is not provided rather than when information about parental 
status is provided.</t>
  </si>
  <si>
    <t>and no significant interaction effect, F(1, 44) = 1.362.</t>
  </si>
  <si>
    <t>F(1, 44) = 1.362</t>
  </si>
  <si>
    <t>https://doi.org/10.1037/0021-9010.90.1.132</t>
  </si>
  <si>
    <t>https://doi.org/10.1037/0021-9010.88.4.587</t>
  </si>
  <si>
    <t>Exploratory</t>
  </si>
  <si>
    <t>Lewis</t>
  </si>
  <si>
    <t>https://doi.org/10.1037/a0035729</t>
  </si>
  <si>
    <t>Sliter</t>
  </si>
  <si>
    <t>https://doi.org/10.1037/a0032002</t>
  </si>
  <si>
    <t>Betas with Z</t>
  </si>
  <si>
    <t>Watson</t>
  </si>
  <si>
    <t>Hypothesis 1: APGO will positively predict evaluation apprehension.</t>
  </si>
  <si>
    <t>In support of Hypothesis 1, APGO was positively associated with evaluation apprehension (b = .19, z = 3.21, p &lt; .01).</t>
  </si>
  <si>
    <t>z = 3.21</t>
  </si>
  <si>
    <t>Hypothesis 2: PPGO will positively predict evaluation apprehension.</t>
  </si>
  <si>
    <t xml:space="preserve"> Supporting Hypothesis 2, PPGO was positively associated with evaluation apprehension (beta = .15, z = 2.80, p &lt; .01). </t>
  </si>
  <si>
    <t>z = 2.80</t>
  </si>
  <si>
    <t>Hypothesis 3: Evaluation apprehension will negatively predict skill attainmen</t>
  </si>
  <si>
    <t xml:space="preserve">Evaluation apprehension was negatively related to skill attainment, as shown in Table 2
 (Step 1; beta = -.82, z = - 2.45, p &lt; .01). Thus, Hypothesis 3 was supported </t>
  </si>
  <si>
    <t>z = 2.45</t>
  </si>
  <si>
    <t>and Table 3 (Step 1; beta = -.97, z = -2.63, p &lt; .01). Thus, Hypothesis 3 was supported</t>
  </si>
  <si>
    <t>z = 2.63</t>
  </si>
  <si>
    <t>https://doi.org/10.1037/a0013506</t>
  </si>
  <si>
    <t>Network Hypothesis Testing</t>
  </si>
  <si>
    <t>Lai</t>
  </si>
  <si>
    <t>https://doi.org/10.1037/apl0000138</t>
  </si>
  <si>
    <t>Jiang</t>
  </si>
  <si>
    <t>https://doi.org/10.1037/apl0000253</t>
  </si>
  <si>
    <t>Becker</t>
  </si>
  <si>
    <t>https://doi.org/10.1037/0021-9010.90.6.1204</t>
  </si>
  <si>
    <t>Salamin</t>
  </si>
  <si>
    <t>https://doi.org/10.1037/0021-9010.90.1.147</t>
  </si>
  <si>
    <t>Experimental?</t>
  </si>
  <si>
    <t>Gronau</t>
  </si>
  <si>
    <t>https://doi.org/10.1037/0021-9010.90.4.603</t>
  </si>
  <si>
    <t>Stahl</t>
  </si>
  <si>
    <t>https://doi.org/10.1037/apl0000035</t>
  </si>
  <si>
    <t>Nifadkar</t>
  </si>
  <si>
    <t>https://doi.org/10.1037/0021-9010.89.2.279</t>
  </si>
  <si>
    <t>Goerke</t>
  </si>
  <si>
    <r>
      <t xml:space="preserve">Hypothesis 1: We predicted a </t>
    </r>
    <r>
      <rPr>
        <b/>
      </rPr>
      <t>three-way</t>
    </r>
    <r>
      <t xml:space="preserve"> interaction of reference, performance level, and temporal perspective for 
upward thoughts, with the following specific pattern of results. For weak subordinates only, upward counterfactuals 
should be less self-referent than upward prefactuals, and upward counterfactuals should refer more to the 
subordinate and the environment than upward prefactuals. No differences between counter- and prefactuals will 
occur for average or strong performance.</t>
    </r>
  </si>
  <si>
    <t>Temporal Perspective X Level of Performance X Reference F(4, 226) = 3.84 p &lt; .01 partial eta^2 = .06</t>
  </si>
  <si>
    <t>F(4, 226) = 3.84</t>
  </si>
  <si>
    <t>partial eta^2 = .06</t>
  </si>
  <si>
    <t>Hypothesis 2a: Managers focusing on weak subordinates should generate more responses than managers focusing
on strong subordinates.</t>
  </si>
  <si>
    <t xml:space="preserve">On average, they generatedaboutasmanycounterfactualthoughts(M=6.22,SD= 4.13) as prefactual thoughts 
(M = 5.63, SD = 2.96), F(1, 114) = .87,ns. </t>
  </si>
  <si>
    <t>F(1, 114) = 0.87</t>
  </si>
  <si>
    <t>Hypothesis 2b: The mean number of upward thoughts should be higher than the mean number of downward 
responses</t>
  </si>
  <si>
    <t>As expected with regard to Direction (and thus confirming Hypothesis 2b), it was easier for supervisors to imagine 
performance gains (upward thoughts, M = 3.81, SD = 2.56) than performance losses (downward thoughts,
 M = 2.12, SD = 1.67), F(1,114) = 65.09,p &lt; .001,partial eta^2 = .36.</t>
  </si>
  <si>
    <t>F(1,114) = 65.09</t>
  </si>
  <si>
    <t>partial eta^2 = .36</t>
  </si>
  <si>
    <t>Hypothesis 2c: Managers focusing on weak subordinates should generate more upward thoughts than managers 
focusing on strong subordinates.</t>
  </si>
  <si>
    <t xml:space="preserve">As predicted in Hypothesis 2c, there was a significant interaction between Level of Performance and Direction,
F(2, 114) = 6.09, p &lt; .01, partial eta^ 2 = .10. </t>
  </si>
  <si>
    <t>F(2, 114) = 6.09</t>
  </si>
  <si>
    <t>https://doi.org/10.1037/0021-9010.87.1.131</t>
  </si>
  <si>
    <t>https://doi.org/10.1037/a0016557</t>
  </si>
  <si>
    <t>Hypothesis 1: There will be a three-way interaction between perceived expertise, accessibility, and trust in predicting 
helpseeking. The form of this interaction is that under conditions of high expertise, there will be an interaction 
between trust and accessibility with trust and accessibility serving as substitutes one for the other. Under conditions 
of low expertise, we expect a simple linear relationship between trust, accessibility, and help seeking.</t>
  </si>
  <si>
    <t xml:space="preserve">Trust x Expertise x Access estimate = .12, t (18) = 5.30 </t>
  </si>
  <si>
    <t>t (18) = 5.30</t>
  </si>
  <si>
    <t>Hypothesis 2: Help providers who have more job experience will be perceived by seekers as possessing greater 
expertise.</t>
  </si>
  <si>
    <t xml:space="preserve">Because the results revealed that help providers who had more job experience were perceived as having greater 
expertise, b = .03, t(144) = 3.01, p &lt; .01, Hypothesis 2 was supported.  </t>
  </si>
  <si>
    <t>t(144) = 3.01</t>
  </si>
  <si>
    <t>Hypothesis 3a: Help providers fulfilling formal helping roles will be perceived by seekers as having more expertise.</t>
  </si>
  <si>
    <t>The results revealed that fulfilling the nurse preceptor role significantly predicted perceptions of expertise,
b = .25, t(144) = 1.82, p &lt;  .05, and accessibility, b = .30, t(144) =  2.39, p &lt; .01. The direction of these relationships
indicates that help providers fulfilling the nurse preceptor role were perceived as possessing greater expertise and being
more accessible, supporting Hypotheses 3a and 3b</t>
  </si>
  <si>
    <t>t(144) = 1.82</t>
  </si>
  <si>
    <t>Hypothesis 3b: Help providers fulfilling formal helping roles will be perceived by seekers as more accessible.</t>
  </si>
  <si>
    <t>accessibility, b = .30, t(144) =  2.39, p &lt; .01</t>
  </si>
  <si>
    <t>t(144) =  2.39</t>
  </si>
  <si>
    <t>Hypothesis 4a: Help providers more affectively committed to the organization will be perceived by seekers as more 
accessible.</t>
  </si>
  <si>
    <t>The results of our investigation of this hypothesis revealed that affective commitment was not significantly related to 
perceptions of accessibility, b = .11, t(144) = 1.32, ns, but it was significantly related to perceptions of trust, 
b = .19, t(144) = 2.28, p &lt; .05. Therefore, Hypothesis 4a was not supported, but Hypothesis 4b was supported.</t>
  </si>
  <si>
    <t>t(144) = 1.32</t>
  </si>
  <si>
    <t>Hypothesis 4b: Help providers more affectively committed to the organization will be perceived by seekers as more
trustworthy.</t>
  </si>
  <si>
    <t>but it was significantly related to perceptions of trust, b = .19, t(144) = 2.28, p &lt; .05</t>
  </si>
  <si>
    <t>t(144) = 2.28</t>
  </si>
  <si>
    <t>https://doi.org/10.1037/a0022134</t>
  </si>
  <si>
    <t>Diestel</t>
  </si>
  <si>
    <t>https://doi.org/10.1037/apl0000353</t>
  </si>
  <si>
    <t>Owens</t>
  </si>
  <si>
    <t>https://doi.org/10.1037/apl0000106</t>
  </si>
  <si>
    <t>Parker</t>
  </si>
  <si>
    <t>https://doi.org/10.1037/ap10000188</t>
  </si>
  <si>
    <t>https://doi.org/10.1037/apl0000238</t>
  </si>
  <si>
    <t>Lindsey</t>
  </si>
  <si>
    <t>https://doi.org/10.1037/a0023684</t>
  </si>
  <si>
    <t>Bezrukova</t>
  </si>
  <si>
    <t>https://doi.org/10.1037/apl0000214</t>
  </si>
  <si>
    <t>Joo</t>
  </si>
  <si>
    <t>https://doi.org/10.1037/apl0000206</t>
  </si>
  <si>
    <t>Review (Field)</t>
  </si>
  <si>
    <t>Salas</t>
  </si>
  <si>
    <t>https://doi.org/10.1037/a0013115</t>
  </si>
  <si>
    <t>Meta Analysis</t>
  </si>
  <si>
    <t>Kaplan</t>
  </si>
  <si>
    <t>https://doi.org/10.1037/0021-9010.85.5.766</t>
  </si>
  <si>
    <t>Wasti</t>
  </si>
  <si>
    <t>https://doi.org/10.1037/apl0000059</t>
  </si>
  <si>
    <t>Sinha</t>
  </si>
  <si>
    <t>https://doi.org/10.1037/apl0000294</t>
  </si>
  <si>
    <t>Brodsky</t>
  </si>
  <si>
    <t>Hypothesis 1: Workers who expect idle time following a task will take longer to complete that task than workers
who do not expect idle time</t>
  </si>
  <si>
    <t>Study 2a: γ_01= -1.720, t(44)= -3.501, p= .001</t>
  </si>
  <si>
    <t>t(44)= 3.501</t>
  </si>
  <si>
    <t>p= .001</t>
  </si>
  <si>
    <t xml:space="preserve">Hypothesis 2a: Workers who expect idle time after a task is completed will  slow down as the task progresses 
(and idle time approaches). </t>
  </si>
  <si>
    <t>In both studies, sentence completion times in the idle time condition increased as
participants progressed through the task [Study 2a: γ10= 20.272, t(44)= 2.033, p= 0.048;</t>
  </si>
  <si>
    <t xml:space="preserve"> t(44)= 2.033</t>
  </si>
  <si>
    <t>p= 0.048</t>
  </si>
  <si>
    <t>Hypothesis 2b: Workers who expect idle time after a task is completed will slow their work pace at an increasing 
rate (i.e., non-linearly) as the task progresses (and idle time approaches)</t>
  </si>
  <si>
    <t>In Study 2a, we did not find either a significant quadratic change in pace for the idle time
condition [γ20= 0.182, t(44)= 0.029, p= 0.977],</t>
  </si>
  <si>
    <t>t(44)= 0.029</t>
  </si>
  <si>
    <t>p= 0.977</t>
  </si>
  <si>
    <t xml:space="preserve">Hypothesis 3: Workers who expect to experience empty idle time after finishing a task will take longer to complete 
the task than workers who expect to experience a period of idle time but are allowed to engage in leisure activities 
during that time. </t>
  </si>
  <si>
    <t xml:space="preserve">2b </t>
  </si>
  <si>
    <t>Study 2b: γ_01= -1.044, t(57)= -2.162, p= .035</t>
  </si>
  <si>
    <t xml:space="preserve"> t(57)= 2.162</t>
  </si>
  <si>
    <t>p= .035</t>
  </si>
  <si>
    <t>Study 2b: γ10= 24.379, t(57)= 2.717, p= 0.009</t>
  </si>
  <si>
    <t>t(57)= 2.717</t>
  </si>
  <si>
    <t>p= 0.009</t>
  </si>
  <si>
    <t>In Study 2b, although the quadratic effect for the idle time condition was trending in the predicted direction, it was 
not significant [γ20= 9.966, t(57)= 1.369, p= 0.176].</t>
  </si>
  <si>
    <t>t(57)= 1.369</t>
  </si>
  <si>
    <t>p= 0.176</t>
  </si>
  <si>
    <t xml:space="preserve">[Study 3a: γ01= -1.572, t(394)= -7.164, p&lt; 0.001; </t>
  </si>
  <si>
    <t>t(394)= 7.164</t>
  </si>
  <si>
    <t>p&lt; 0.001</t>
  </si>
  <si>
    <t xml:space="preserve">[Study 3a: γ10= 98.097, t(394)= 8.069, p&lt; 0.001; </t>
  </si>
  <si>
    <t>t(394)= 8.069</t>
  </si>
  <si>
    <t xml:space="preserve">[Study 3a: γ20= 53.490, t(394)= 6.281, p&lt; 0.001; </t>
  </si>
  <si>
    <t>t(394)= 6.281</t>
  </si>
  <si>
    <t>Study 3b: γ01= -0.931, t(397)= -5.550, p&lt; 0.001</t>
  </si>
  <si>
    <t>t(397)= 5.550</t>
  </si>
  <si>
    <t>Study 3b: γ10= 90.505, t(397)= 8.842, p&lt; 0.001],</t>
  </si>
  <si>
    <t xml:space="preserve"> t(397)= 8.842</t>
  </si>
  <si>
    <t>Study 3b: γ20= 38.843, t(397)= 4.682, p&lt; 0.001]</t>
  </si>
  <si>
    <t>t(397)= 4.682</t>
  </si>
  <si>
    <t>https://doi.org/10.1037//0021-9010.87.6.1200</t>
  </si>
  <si>
    <t>Ellis</t>
  </si>
  <si>
    <t xml:space="preserve">Hypothesis1: Applicants will use more self-promotion tactics when answering experience-based versus situational 
questions during structured interviews. </t>
  </si>
  <si>
    <t>This hypothesis was supported by using a paired t test (use of selfpromotion tactics in experience-based questions: 
M _x0001_ 3.26, use of self-promotion tactics in situational questions: M _x0001_ 1.32), t(119) = 8.21, p &lt; .01.</t>
  </si>
  <si>
    <t>t(119) = 8.21</t>
  </si>
  <si>
    <t>Hypothesis 2: Applicants will use more ingratiation tactics when answering situational versus experience-based 
questions during structured interviews.</t>
  </si>
  <si>
    <t>supported by another paired t test (use of ingratiation tactics in situational questions: M _x0001_ 1.96, use of ingratiation tactics 
in experience-based questions: M _x0001_ 1.08), t(119) = 4.91, p &lt; .01.</t>
  </si>
  <si>
    <t xml:space="preserve"> t(119) = 4.91</t>
  </si>
  <si>
    <t>Hypothesis 3: When answering situational questions during structured interviews, applicants will use more 
ingratiation rather than self-promotion tactics.</t>
  </si>
  <si>
    <t>use of self-promotion tactics in situational questions: M = 1.32), t(119) = 3.10, p &lt; .01, supporting Hypothesis 3.</t>
  </si>
  <si>
    <t>t(119) = 3.10</t>
  </si>
  <si>
    <t>Hypothesis 4: When answering experience-based questions during structured interviews, applicants will use more 
selfpromotion rather than ingratiation tactics.</t>
  </si>
  <si>
    <t>Within experience-based questions, self-promotion tactics were used significantly more than ingratiation tactics (use of 
self-promotion tactics in experience-based questions: M = 3.26, use of ingratiation tactics in experience-based questions: 
M = 1.08), t(119) = 9.26, p &lt; .01, supporting Hypothesis 4</t>
  </si>
  <si>
    <t>t(119) = 9.26</t>
  </si>
  <si>
    <t>Hypothesis 5: Applicants’ use of self-promotion tactics will be positively related to interviewers’ evaluations.</t>
  </si>
  <si>
    <t>Hypothesis 6: Applicants’ use of self-promotion tactics will be positively related to interviewers’ evaluations.</t>
  </si>
  <si>
    <t>https://doi.org/10.1037//0021-9010.86.3.459</t>
  </si>
  <si>
    <t>Zellars</t>
  </si>
  <si>
    <t>we hypothesize that emotional social support expressed through conversations with a non-job-related, positive, or 
empathic content is associated with reduced levels of emotional exhaustion, depersonalization, and diminished 
accomplishment (Hypothesis 1).</t>
  </si>
  <si>
    <t>We also hypothesize that emotional social support expressed as conversations focusing on negative aspects of a job 
is associated with increased levels of emotional exhaustion, depersonalization, and diminished accomplishment 
(Hypothesis 2).</t>
  </si>
  <si>
    <t xml:space="preserve">Overall, the model predicting emotional exhaustion (see Table 2) was significant, F(12, 276) = 27.86, p &lt; .01, 
explaining 55% of the variance. </t>
  </si>
  <si>
    <t>F(12, 276) = 27.86</t>
  </si>
  <si>
    <t>The model for depersonalization (see Table 3) was significant, F(12, 276) = 17.04, p &lt; .01, explaining 43% of the variance.</t>
  </si>
  <si>
    <t>F(12, 276) = 17.04</t>
  </si>
  <si>
    <t>The model for diminished accomplishment (see Table 4) was also significant, F(12, 277) = 8.90, p &lt; .01, explaining 28% of
the variance.</t>
  </si>
  <si>
    <t xml:space="preserve"> F(12, 277) = 8.90</t>
  </si>
  <si>
    <t xml:space="preserve">We hypothesize that individuals higher in Extraversion experience less emotional exhaustion, depersonalization, 
and diminished accomplishment than individuals lower in Extraversion (Hypothesis 3). </t>
  </si>
  <si>
    <t>We hypothesize that individuals higher in Extraversion will report more perceived nonjob, positive, negative, and 
empathic social support (Hypothesis 4).</t>
  </si>
  <si>
    <t>We hypothesize that individuals higher in Agreeableness will report less emotional exhaustion, depersonalization,
and diminished personal accomplishment (Hypothesis 5)</t>
  </si>
  <si>
    <t>We hypothesize that individuals higher in Agreeableness will report more nonjob, positive, and empathic social 
support than individuals lower in Agreeableness (Hypothesis 6).</t>
  </si>
  <si>
    <t>We hypothesize that individuals higher in Neuroticism will report more emotional exhaustion, depersonalization, 
and diminished accomplishment (Hypothesis 7).</t>
  </si>
  <si>
    <t>Individuals high in Agreeableness are strongly influenced by their concern for more conversations with a negative 
content (i.e., negative social support; Hypothesis 8).</t>
  </si>
  <si>
    <t>https://doi.org/10.1037/a0017630</t>
  </si>
  <si>
    <t>Netemeyer</t>
  </si>
  <si>
    <t>https://doi.org/10.1037/apl0000009</t>
  </si>
  <si>
    <t>No authorship</t>
  </si>
  <si>
    <t>https://doi.org/10.1037/0021-9010.88.1.160</t>
  </si>
  <si>
    <t>Cropanzano</t>
  </si>
  <si>
    <t>https://doi.org/10.1037//0021-9010.85.2.180</t>
  </si>
  <si>
    <t>No NHST</t>
  </si>
  <si>
    <t>https://doi.org/10.1037/a0036463</t>
  </si>
  <si>
    <t>Garcia</t>
  </si>
  <si>
    <t>https://doi.org/10.1037/apl0000343</t>
  </si>
  <si>
    <t>Gamma/Regression</t>
  </si>
  <si>
    <t>https://doi.org/10.1037/a0022133</t>
  </si>
  <si>
    <t>Ryan</t>
  </si>
  <si>
    <t>we hypothesized that the TMTM association would manifest itself when participants were asked to describe managers 
of successful companies and that such managers would be seen as more similar to men in general than to women in
 general (Hypothesis 1 [H1]).</t>
  </si>
  <si>
    <t>As can be seen from Table 2, in line with H1, overall descriptions of managers of successful companies and men were 
significantly more similar to each another (ICC = .79, p _x0003_ .001) than descriptions of managers of successful companies 
and women (ICC = .46, p &lt; .05; z = 3.83, p &lt; .001).</t>
  </si>
  <si>
    <t>z = 3.83</t>
  </si>
  <si>
    <t>we hypothesized that when asked to describe managers of unsuccessful companies, these managers would be seen
as more similar to women than to men (H2).</t>
  </si>
  <si>
    <t>Nevertheless, these ICCs were significantly different from one another (z = 6.09, p &lt; .001), such that managers of 
unsuccessful companies had more in common with women than with men.</t>
  </si>
  <si>
    <t>z = 6.09</t>
  </si>
  <si>
    <t xml:space="preserve">Hypothesized that the TMTM association would manifest itself when individuals were asked to characterize ideal 
managers of successful companies and that such managers would be seen to be more similar to men in general than 
to women in general (H3). </t>
  </si>
  <si>
    <t xml:space="preserve"> Chi-square analysis revealed no significant associations company performance and gender, chi^2(1) &lt; 1, p = .39. </t>
  </si>
  <si>
    <t>However, beyond this, we hypothesized that when asked to characterize ideal managers of unsuccessful companies, 
these managers would be seen as more similar to women in general than to men in general (H4).</t>
  </si>
  <si>
    <t>However, in line with H4, ICCs revealed that descriptions of desirable traits for managers of unsuccessful companies were 
more similar to descriptions of women (ICC = .62, p &lt; .001) than to those of men (ICC = .45, p &lt; .05; z = 1.60, p &lt; .05)</t>
  </si>
  <si>
    <t>z = 1.60</t>
  </si>
  <si>
    <r>
      <t>we hypothesized that</t>
    </r>
    <r>
      <rPr>
        <b/>
      </rPr>
      <t xml:space="preserve"> feminine traits will be seen as more desirable</t>
    </r>
    <r>
      <t xml:space="preserve"> (than masculine traits) for a management
role that requires more </t>
    </r>
    <r>
      <rPr>
        <b/>
      </rPr>
      <t>interpersonal leadership</t>
    </r>
    <r>
      <t xml:space="preserve"> (</t>
    </r>
    <r>
      <rPr>
        <b/>
      </rPr>
      <t>managing people [H5a</t>
    </r>
    <r>
      <t>] or being a spokesperson [H5b]) and a more 
passive role (taking responsibility [H5c] or enduring the crisis [H5d]). In contrast, where a more active (and traditional) 
management role is required (in turning performance around), masculine traits will be more desirable (H5e).</t>
    </r>
  </si>
  <si>
    <t>More importantly, the analysis revealed, as hypothesized, a significant interaction between managerial role and
traits, F(4, 127) = 3.43, p =  .003</t>
  </si>
  <si>
    <t>F(4, 127) = 3.43</t>
  </si>
  <si>
    <t xml:space="preserve"> (a) to stay in the background and endure the crisis (Mfem = 3.92; Mmasc =3.63), F(1, 127) = 4.33, p = .04</t>
  </si>
  <si>
    <t>F(1, 127) = 4.33</t>
  </si>
  <si>
    <t>being a spokesperson [H5b])</t>
  </si>
  <si>
    <t>such as being a spokesperson F(1, 127) &lt; 1, p = .57,</t>
  </si>
  <si>
    <t>p = .57</t>
  </si>
  <si>
    <t>5c</t>
  </si>
  <si>
    <t xml:space="preserve">taking responsibility [H5c] </t>
  </si>
  <si>
    <r>
      <t xml:space="preserve">(b) to take </t>
    </r>
    <r>
      <rPr>
        <b/>
      </rPr>
      <t xml:space="preserve">responsibility </t>
    </r>
    <r>
      <t>for poor performance (Mfem _x0001_ 3.83; Mmasc _x0001_ 3.52), F(1, 127) = 7.48, p = .01;</t>
    </r>
  </si>
  <si>
    <t>F(1, 127) = 7.48</t>
  </si>
  <si>
    <t>5d</t>
  </si>
  <si>
    <t>enduring the crisis [H5d]).</t>
  </si>
  <si>
    <r>
      <t xml:space="preserve">(c) to manage people through the </t>
    </r>
    <r>
      <rPr>
        <b/>
      </rPr>
      <t xml:space="preserve">crisis </t>
    </r>
    <r>
      <t>(Mfem _x0001_ 4.16; Mmasc _x0001_ 3.76), F(1, 127) = 10.81, p = .001.</t>
    </r>
  </si>
  <si>
    <t>F(1, 127) = 10.81</t>
  </si>
  <si>
    <t>5e</t>
  </si>
  <si>
    <t>masculine traits will be more desirable (H5e).</t>
  </si>
  <si>
    <t>improving company performance F(1, 127) &lt; 1, p = .48.</t>
  </si>
  <si>
    <t>p = .48</t>
  </si>
  <si>
    <t>https://doi.org/10.1037/0021-9010.93.1.199</t>
  </si>
  <si>
    <t>https://doi.org/10.1037/a0025847</t>
  </si>
  <si>
    <t>https://doi.org/10.1037/0021-9010.91.4.762</t>
  </si>
  <si>
    <t>https://doi.org/10.1037/a0025408</t>
  </si>
  <si>
    <t>Robbins</t>
  </si>
  <si>
    <t>https://doi.org/10.1037/apl0000177</t>
  </si>
  <si>
    <t>Vancouver</t>
  </si>
  <si>
    <t>https://doi.org/10.1037/a0031129</t>
  </si>
  <si>
    <t>Shi</t>
  </si>
  <si>
    <t>https://doi.org/10.1037/0021-9010.86.6.1244</t>
  </si>
  <si>
    <t>https://doi.org/10.1037/0021-9010.92.4.1159</t>
  </si>
  <si>
    <t>https://doi.org/10.1037/a0032599</t>
  </si>
  <si>
    <t>Stanhope</t>
  </si>
  <si>
    <t>https://doi.org/10.1037/apl0000347</t>
  </si>
  <si>
    <t>Experimental (Study 4)</t>
  </si>
  <si>
    <t>Gündemir</t>
  </si>
  <si>
    <t>https://doi.org/10.1037/0021-9010.89.1.150</t>
  </si>
  <si>
    <t>Bing</t>
  </si>
  <si>
    <t>https://doi.org/10.1037//0021-9010.86.2.293</t>
  </si>
  <si>
    <t>Just means</t>
  </si>
  <si>
    <t>Munson</t>
  </si>
  <si>
    <t>https://doi.org/10.1037//0021-9010.86.6.1306</t>
  </si>
  <si>
    <t>Rioux</t>
  </si>
  <si>
    <t>https://doi.org/10.1037/a0034413</t>
  </si>
  <si>
    <t>https://doi.org/10.1037/a0030687</t>
  </si>
  <si>
    <t>https://doi.org/10.1037/0021-9010.93.2.463</t>
  </si>
  <si>
    <t>Collins</t>
  </si>
  <si>
    <t>https://doi.org/10.1037/0021-9010.91.1.202</t>
  </si>
  <si>
    <t>Keller</t>
  </si>
  <si>
    <t>https://doi.org/10.1037/a0026739</t>
  </si>
  <si>
    <t>Berry</t>
  </si>
  <si>
    <t>https://doi.org/10.1037/0021-9010.90.3.483</t>
  </si>
  <si>
    <t>Lim</t>
  </si>
  <si>
    <t>https://doi.org/10.1037/a0030264</t>
  </si>
  <si>
    <t>Hoch</t>
  </si>
  <si>
    <t>Expected amount of Studies:</t>
  </si>
  <si>
    <t>As expected, we got:</t>
  </si>
  <si>
    <t>Studies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</si>
</sst>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kr-41D]"/>
  </numFmts>
  <fonts count="38">
    <font>
      <sz val="10.0"/>
      <color rgb="FF000000"/>
      <name val="Arial"/>
    </font>
    <font>
      <b/>
    </font>
    <font>
      <b/>
      <name val="Arial"/>
    </font>
    <font/>
    <font>
      <b/>
      <i/>
      <sz val="18.0"/>
      <color rgb="FFFF00FF"/>
      <name val="Comic Sans MS"/>
    </font>
    <font>
      <u/>
      <color rgb="FF0000FF"/>
    </font>
    <font>
      <u/>
      <color rgb="FF0000FF"/>
    </font>
    <font>
      <u/>
      <color rgb="FF0000FF"/>
    </font>
    <font>
      <sz val="11.0"/>
      <color rgb="FF000000"/>
      <name val="Inconsolata"/>
    </font>
    <font>
      <name val="Arial"/>
    </font>
    <font>
      <u/>
      <color rgb="FF0000FF"/>
    </font>
    <font>
      <color rgb="FF000000"/>
      <name val="Arial"/>
    </font>
    <font>
      <sz val="10.0"/>
    </font>
    <font>
      <sz val="11.0"/>
      <color rgb="FF000000"/>
      <name val="Arial"/>
    </font>
    <font>
      <u/>
      <color rgb="FF0000FF"/>
    </font>
    <font>
      <sz val="10.0"/>
      <color rgb="FF333333"/>
      <name val="Arial"/>
    </font>
    <font>
      <u/>
      <color rgb="FF0000FF"/>
    </font>
    <font>
      <u/>
      <color rgb="FF0000FF"/>
    </font>
    <font>
      <u/>
      <color rgb="FF1155CC"/>
      <name val="Arial"/>
    </font>
    <font>
      <u/>
      <color rgb="FF1155CC"/>
      <name val="Arial"/>
    </font>
    <font>
      <u/>
      <color rgb="FF1155CC"/>
      <name val="Arial"/>
    </font>
    <font>
      <u/>
      <color rgb="FF1155CC"/>
      <name val="Arial"/>
    </font>
    <font>
      <u/>
      <color rgb="FF1155CC"/>
      <name val="Arial"/>
    </font>
    <font>
      <sz val="9.0"/>
      <color rgb="FF000000"/>
      <name val="Arial"/>
    </font>
    <font>
      <sz val="10.0"/>
      <color rgb="FF333333"/>
      <name val="Sans-serif"/>
    </font>
    <font>
      <color rgb="FF000000"/>
    </font>
    <font>
      <sz val="10.0"/>
      <name val="Arial"/>
    </font>
    <font>
      <u/>
      <color rgb="FF0000FF"/>
    </font>
    <font>
      <u/>
      <color rgb="FF0000FF"/>
    </font>
    <font>
      <i/>
    </font>
    <font>
      <u/>
      <color rgb="FF0000FF"/>
    </font>
    <font>
      <u/>
      <color rgb="FF0000FF"/>
    </font>
    <font>
      <b/>
      <sz val="10.0"/>
    </font>
    <font>
      <b/>
      <i/>
      <sz val="18.0"/>
      <color rgb="FFFFFFFF"/>
      <name val="Comic Sans MS"/>
    </font>
    <font>
      <sz val="11.0"/>
      <color rgb="FF333333"/>
      <name val="Sans-serif"/>
    </font>
    <font>
      <u/>
      <color rgb="FF1155CC"/>
      <name val="Arial"/>
    </font>
    <font>
      <u/>
      <color rgb="FF0000FF"/>
    </font>
    <font>
      <u/>
      <color rgb="FF0000FF"/>
    </font>
  </fonts>
  <fills count="10">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1C232"/>
        <bgColor rgb="FFF1C232"/>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CC4125"/>
        <bgColor rgb="FFCC4125"/>
      </patternFill>
    </fill>
  </fills>
  <borders count="16">
    <border/>
    <border>
      <left style="thin">
        <color rgb="FF000000"/>
      </left>
    </border>
    <border>
      <right style="thin">
        <color rgb="FF000000"/>
      </right>
    </border>
    <border>
      <left style="thick">
        <color rgb="FF333333"/>
      </left>
      <right style="thick">
        <color rgb="FF333333"/>
      </right>
      <top style="thick">
        <color rgb="FF333333"/>
      </top>
    </border>
    <border>
      <left style="thick">
        <color rgb="FF333333"/>
      </left>
      <right style="thick">
        <color rgb="FF333333"/>
      </right>
    </border>
    <border>
      <left style="thick">
        <color rgb="FF333333"/>
      </left>
      <right style="thick">
        <color rgb="FF333333"/>
      </right>
      <bottom style="thick">
        <color rgb="FF333333"/>
      </bottom>
    </border>
    <border>
      <left style="thin">
        <color rgb="FF000000"/>
      </left>
      <top style="thin">
        <color rgb="FF000000"/>
      </top>
    </border>
    <border>
      <top style="thick">
        <color rgb="FF333333"/>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Alignment="1" applyFont="1">
      <alignment horizontal="center" readingOrder="0" vertical="top"/>
    </xf>
    <xf borderId="1" fillId="0" fontId="1" numFmtId="0" xfId="0" applyAlignment="1" applyBorder="1" applyFont="1">
      <alignment horizontal="center" readingOrder="0" vertical="top"/>
    </xf>
    <xf borderId="0" fillId="0" fontId="2" numFmtId="0" xfId="0" applyAlignment="1" applyFont="1">
      <alignment horizontal="center" readingOrder="0" vertical="top"/>
    </xf>
    <xf borderId="0" fillId="2" fontId="1" numFmtId="0" xfId="0" applyAlignment="1" applyFill="1" applyFont="1">
      <alignment horizontal="center" readingOrder="0" vertical="top"/>
    </xf>
    <xf borderId="2" fillId="0" fontId="1" numFmtId="0" xfId="0" applyAlignment="1" applyBorder="1" applyFont="1">
      <alignment horizontal="center" readingOrder="0" vertical="top"/>
    </xf>
    <xf borderId="0" fillId="0" fontId="1" numFmtId="0" xfId="0" applyAlignment="1" applyFont="1">
      <alignment readingOrder="0"/>
    </xf>
    <xf borderId="0" fillId="3" fontId="3" numFmtId="0" xfId="0" applyAlignment="1" applyFill="1" applyFont="1">
      <alignment horizontal="center" readingOrder="0"/>
    </xf>
    <xf borderId="0" fillId="3" fontId="3" numFmtId="0" xfId="0" applyAlignment="1" applyFont="1">
      <alignment readingOrder="0"/>
    </xf>
    <xf borderId="0" fillId="4" fontId="4" numFmtId="0" xfId="0" applyAlignment="1" applyFill="1" applyFont="1">
      <alignment horizontal="center" readingOrder="0" textRotation="135"/>
    </xf>
    <xf borderId="0" fillId="3" fontId="3" numFmtId="0" xfId="0" applyAlignment="1" applyFont="1">
      <alignment horizontal="center" readingOrder="0" vertical="top"/>
    </xf>
    <xf borderId="0" fillId="3" fontId="3" numFmtId="0" xfId="0" applyAlignment="1" applyFont="1">
      <alignment horizontal="center"/>
    </xf>
    <xf borderId="0" fillId="3" fontId="3" numFmtId="0" xfId="0" applyFont="1"/>
    <xf borderId="0" fillId="3" fontId="3" numFmtId="0" xfId="0" applyAlignment="1" applyFont="1">
      <alignment vertical="top"/>
    </xf>
    <xf borderId="0" fillId="3" fontId="5" numFmtId="0" xfId="0" applyAlignment="1" applyFont="1">
      <alignment readingOrder="0"/>
    </xf>
    <xf borderId="0" fillId="3" fontId="3" numFmtId="0" xfId="0" applyAlignment="1" applyFont="1">
      <alignment horizontal="right" vertical="top"/>
    </xf>
    <xf borderId="0" fillId="3" fontId="3" numFmtId="0" xfId="0" applyAlignment="1" applyFont="1">
      <alignment readingOrder="0" vertical="top"/>
    </xf>
    <xf borderId="3" fillId="3" fontId="1" numFmtId="0" xfId="0" applyAlignment="1" applyBorder="1" applyFont="1">
      <alignment horizontal="center" readingOrder="0" vertical="top"/>
    </xf>
    <xf borderId="4" fillId="5" fontId="3" numFmtId="0" xfId="0" applyAlignment="1" applyBorder="1" applyFill="1" applyFont="1">
      <alignment horizontal="center" readingOrder="0" vertical="top"/>
    </xf>
    <xf borderId="4" fillId="6" fontId="3" numFmtId="0" xfId="0" applyAlignment="1" applyBorder="1" applyFill="1" applyFont="1">
      <alignment horizontal="center" readingOrder="0" vertical="top"/>
    </xf>
    <xf borderId="0" fillId="3" fontId="3" numFmtId="164" xfId="0" applyAlignment="1" applyFont="1" applyNumberFormat="1">
      <alignment readingOrder="0" vertical="top"/>
    </xf>
    <xf borderId="4" fillId="7" fontId="3" numFmtId="0" xfId="0" applyAlignment="1" applyBorder="1" applyFill="1" applyFont="1">
      <alignment horizontal="center" readingOrder="0" vertical="top"/>
    </xf>
    <xf borderId="0" fillId="6" fontId="3" numFmtId="0" xfId="0" applyAlignment="1" applyFont="1">
      <alignment horizontal="center" readingOrder="0"/>
    </xf>
    <xf borderId="5" fillId="2" fontId="3" numFmtId="0" xfId="0" applyAlignment="1" applyBorder="1" applyFont="1">
      <alignment horizontal="center" readingOrder="0" vertical="top"/>
    </xf>
    <xf borderId="6" fillId="6" fontId="3" numFmtId="0" xfId="0" applyAlignment="1" applyBorder="1" applyFont="1">
      <alignment readingOrder="0"/>
    </xf>
    <xf borderId="7" fillId="3" fontId="3" numFmtId="0" xfId="0" applyAlignment="1" applyBorder="1" applyFont="1">
      <alignment readingOrder="0"/>
    </xf>
    <xf borderId="7" fillId="3" fontId="3" numFmtId="0" xfId="0" applyAlignment="1" applyBorder="1" applyFont="1">
      <alignment horizontal="center"/>
    </xf>
    <xf borderId="7" fillId="3" fontId="3" numFmtId="0" xfId="0" applyBorder="1" applyFont="1"/>
    <xf borderId="7" fillId="3" fontId="3" numFmtId="0" xfId="0" applyAlignment="1" applyBorder="1" applyFont="1">
      <alignment horizontal="center" readingOrder="0" vertical="top"/>
    </xf>
    <xf borderId="7" fillId="3" fontId="3" numFmtId="0" xfId="0" applyAlignment="1" applyBorder="1" applyFont="1">
      <alignment vertical="top"/>
    </xf>
    <xf borderId="7" fillId="3" fontId="3" numFmtId="0" xfId="0" applyAlignment="1" applyBorder="1" applyFont="1">
      <alignment horizontal="right" vertical="top"/>
    </xf>
    <xf borderId="8" fillId="6" fontId="6" numFmtId="0" xfId="0" applyAlignment="1" applyBorder="1" applyFont="1">
      <alignment readingOrder="0"/>
    </xf>
    <xf borderId="7" fillId="3" fontId="3" numFmtId="0" xfId="0" applyAlignment="1" applyBorder="1" applyFont="1">
      <alignment readingOrder="0" vertical="top"/>
    </xf>
    <xf borderId="8" fillId="6" fontId="3" numFmtId="0" xfId="0" applyAlignment="1" applyBorder="1" applyFont="1">
      <alignment horizontal="center" readingOrder="0"/>
    </xf>
    <xf borderId="7" fillId="0" fontId="3" numFmtId="0" xfId="0" applyBorder="1" applyFont="1"/>
    <xf borderId="8" fillId="6" fontId="3" numFmtId="0" xfId="0" applyAlignment="1" applyBorder="1" applyFont="1">
      <alignment readingOrder="0"/>
    </xf>
    <xf borderId="8" fillId="6" fontId="3" numFmtId="0" xfId="0" applyAlignment="1" applyBorder="1" applyFont="1">
      <alignment horizontal="right" readingOrder="0" vertical="top"/>
    </xf>
    <xf borderId="8" fillId="6" fontId="3" numFmtId="0" xfId="0" applyAlignment="1" applyBorder="1" applyFont="1">
      <alignment readingOrder="0" vertical="top"/>
    </xf>
    <xf borderId="8" fillId="6" fontId="3" numFmtId="0" xfId="0" applyAlignment="1" applyBorder="1" applyFont="1">
      <alignment vertical="top"/>
    </xf>
    <xf borderId="8" fillId="6" fontId="3" numFmtId="0" xfId="0" applyAlignment="1" applyBorder="1" applyFont="1">
      <alignment horizontal="right" vertical="top"/>
    </xf>
    <xf borderId="9" fillId="6" fontId="3" numFmtId="0" xfId="0" applyAlignment="1" applyBorder="1" applyFont="1">
      <alignment readingOrder="0" vertical="top"/>
    </xf>
    <xf borderId="0" fillId="2" fontId="3" numFmtId="0" xfId="0" applyAlignment="1" applyFont="1">
      <alignment horizontal="center" readingOrder="0"/>
    </xf>
    <xf borderId="1" fillId="2" fontId="3" numFmtId="0" xfId="0" applyAlignment="1" applyBorder="1" applyFont="1">
      <alignment readingOrder="0"/>
    </xf>
    <xf borderId="0" fillId="2" fontId="3" numFmtId="0" xfId="0" applyAlignment="1" applyFont="1">
      <alignment readingOrder="0"/>
    </xf>
    <xf borderId="0" fillId="2" fontId="3" numFmtId="0" xfId="0" applyAlignment="1" applyFont="1">
      <alignment horizontal="right" readingOrder="0" vertical="top"/>
    </xf>
    <xf borderId="0" fillId="2" fontId="3" numFmtId="0" xfId="0" applyAlignment="1" applyFont="1">
      <alignment readingOrder="0" vertical="top"/>
    </xf>
    <xf borderId="0" fillId="2" fontId="3" numFmtId="0" xfId="0" applyAlignment="1" applyFont="1">
      <alignment horizontal="right" readingOrder="0"/>
    </xf>
    <xf borderId="0" fillId="2" fontId="3" numFmtId="0" xfId="0" applyAlignment="1" applyFont="1">
      <alignment horizontal="right" vertical="top"/>
    </xf>
    <xf borderId="0" fillId="5" fontId="3" numFmtId="0" xfId="0" applyAlignment="1" applyFont="1">
      <alignment horizontal="center" readingOrder="0"/>
    </xf>
    <xf borderId="0" fillId="5" fontId="3" numFmtId="0" xfId="0" applyAlignment="1" applyFont="1">
      <alignment readingOrder="0"/>
    </xf>
    <xf borderId="2" fillId="2" fontId="3" numFmtId="0" xfId="0" applyAlignment="1" applyBorder="1" applyFont="1">
      <alignment readingOrder="0" vertical="top"/>
    </xf>
    <xf borderId="0" fillId="5" fontId="7" numFmtId="0" xfId="0" applyAlignment="1" applyFont="1">
      <alignment readingOrder="0"/>
    </xf>
    <xf borderId="0" fillId="2" fontId="3" numFmtId="0" xfId="0" applyAlignment="1" applyFont="1">
      <alignment horizontal="left" readingOrder="0" vertical="top"/>
    </xf>
    <xf borderId="0" fillId="5" fontId="3" numFmtId="0" xfId="0" applyAlignment="1" applyFont="1">
      <alignment readingOrder="0" vertical="top"/>
    </xf>
    <xf borderId="0" fillId="5" fontId="3" numFmtId="0" xfId="0" applyAlignment="1" applyFont="1">
      <alignment vertical="top"/>
    </xf>
    <xf borderId="0" fillId="5" fontId="3" numFmtId="0" xfId="0" applyAlignment="1" applyFont="1">
      <alignment horizontal="right" vertical="top"/>
    </xf>
    <xf borderId="0" fillId="5" fontId="3" numFmtId="0" xfId="0" applyFont="1"/>
    <xf borderId="0" fillId="2" fontId="8" numFmtId="0" xfId="0" applyAlignment="1" applyFont="1">
      <alignment horizontal="right" vertical="top"/>
    </xf>
    <xf borderId="0" fillId="2" fontId="9" numFmtId="0" xfId="0" applyAlignment="1" applyFont="1">
      <alignment readingOrder="0" vertical="top"/>
    </xf>
    <xf borderId="0" fillId="2" fontId="3" numFmtId="0" xfId="0" applyAlignment="1" applyFont="1">
      <alignment vertical="top"/>
    </xf>
    <xf borderId="0" fillId="2" fontId="3" numFmtId="0" xfId="0" applyFont="1"/>
    <xf borderId="0" fillId="7" fontId="3" numFmtId="0" xfId="0" applyAlignment="1" applyFont="1">
      <alignment readingOrder="0" vertical="top"/>
    </xf>
    <xf borderId="0" fillId="6" fontId="3" numFmtId="0" xfId="0" applyAlignment="1" applyFont="1">
      <alignment readingOrder="0"/>
    </xf>
    <xf borderId="0" fillId="6" fontId="3" numFmtId="0" xfId="0" applyAlignment="1" applyFont="1">
      <alignment horizontal="right" readingOrder="0" vertical="top"/>
    </xf>
    <xf borderId="0" fillId="6" fontId="3" numFmtId="0" xfId="0" applyAlignment="1" applyFont="1">
      <alignment readingOrder="0" vertical="top"/>
    </xf>
    <xf borderId="0" fillId="6" fontId="3" numFmtId="0" xfId="0" applyAlignment="1" applyFont="1">
      <alignment vertical="top"/>
    </xf>
    <xf borderId="0" fillId="6" fontId="3" numFmtId="0" xfId="0" applyAlignment="1" applyFont="1">
      <alignment horizontal="right" vertical="top"/>
    </xf>
    <xf borderId="2" fillId="6" fontId="3" numFmtId="0" xfId="0" applyAlignment="1" applyBorder="1" applyFont="1">
      <alignment readingOrder="0" vertical="top"/>
    </xf>
    <xf borderId="0" fillId="7" fontId="3" numFmtId="0" xfId="0" applyAlignment="1" applyFont="1">
      <alignment horizontal="center" readingOrder="0"/>
    </xf>
    <xf borderId="1" fillId="7" fontId="3" numFmtId="0" xfId="0" applyAlignment="1" applyBorder="1" applyFont="1">
      <alignment readingOrder="0"/>
    </xf>
    <xf borderId="0" fillId="7" fontId="3" numFmtId="0" xfId="0" applyAlignment="1" applyFont="1">
      <alignment readingOrder="0"/>
    </xf>
    <xf borderId="0" fillId="7" fontId="3" numFmtId="0" xfId="0" applyAlignment="1" applyFont="1">
      <alignment horizontal="right" readingOrder="0" vertical="top"/>
    </xf>
    <xf borderId="0" fillId="7" fontId="3" numFmtId="0" xfId="0" applyAlignment="1" applyFont="1">
      <alignment horizontal="right" vertical="top"/>
    </xf>
    <xf borderId="2" fillId="7" fontId="3" numFmtId="0" xfId="0" applyAlignment="1" applyBorder="1" applyFont="1">
      <alignment readingOrder="0" vertical="top"/>
    </xf>
    <xf borderId="1" fillId="6" fontId="3" numFmtId="0" xfId="0" applyAlignment="1" applyBorder="1" applyFont="1">
      <alignment readingOrder="0"/>
    </xf>
    <xf borderId="10" fillId="2" fontId="3" numFmtId="0" xfId="0" applyAlignment="1" applyBorder="1" applyFont="1">
      <alignment readingOrder="0"/>
    </xf>
    <xf borderId="10" fillId="2" fontId="3" numFmtId="0" xfId="0" applyAlignment="1" applyBorder="1" applyFont="1">
      <alignment horizontal="center" readingOrder="0"/>
    </xf>
    <xf borderId="10" fillId="2" fontId="3" numFmtId="0" xfId="0" applyAlignment="1" applyBorder="1" applyFont="1">
      <alignment horizontal="right" readingOrder="0" vertical="top"/>
    </xf>
    <xf borderId="10" fillId="2" fontId="3" numFmtId="0" xfId="0" applyAlignment="1" applyBorder="1" applyFont="1">
      <alignment readingOrder="0" vertical="top"/>
    </xf>
    <xf borderId="10" fillId="2" fontId="3" numFmtId="0" xfId="0" applyAlignment="1" applyBorder="1" applyFont="1">
      <alignment vertical="top"/>
    </xf>
    <xf borderId="10" fillId="2" fontId="3" numFmtId="0" xfId="0" applyAlignment="1" applyBorder="1" applyFont="1">
      <alignment horizontal="right" vertical="top"/>
    </xf>
    <xf borderId="11" fillId="2" fontId="3" numFmtId="0" xfId="0" applyAlignment="1" applyBorder="1" applyFont="1">
      <alignment readingOrder="0" vertical="top"/>
    </xf>
    <xf borderId="1" fillId="3" fontId="3" numFmtId="0" xfId="0" applyAlignment="1" applyBorder="1" applyFont="1">
      <alignment readingOrder="0"/>
    </xf>
    <xf borderId="12" fillId="2" fontId="3" numFmtId="0" xfId="0" applyAlignment="1" applyBorder="1" applyFont="1">
      <alignment readingOrder="0"/>
    </xf>
    <xf borderId="0" fillId="3" fontId="3" numFmtId="0" xfId="0" applyAlignment="1" applyFont="1">
      <alignment horizontal="right" readingOrder="0" vertical="top"/>
    </xf>
    <xf borderId="2" fillId="3" fontId="3" numFmtId="0" xfId="0" applyAlignment="1" applyBorder="1" applyFont="1">
      <alignment readingOrder="0" vertical="top"/>
    </xf>
    <xf borderId="6" fillId="2" fontId="3" numFmtId="0" xfId="0" applyAlignment="1" applyBorder="1" applyFont="1">
      <alignment readingOrder="0"/>
    </xf>
    <xf borderId="8" fillId="2" fontId="10" numFmtId="0" xfId="0" applyAlignment="1" applyBorder="1" applyFont="1">
      <alignment readingOrder="0"/>
    </xf>
    <xf borderId="8" fillId="2" fontId="3" numFmtId="0" xfId="0" applyAlignment="1" applyBorder="1" applyFont="1">
      <alignment horizontal="center" readingOrder="0"/>
    </xf>
    <xf borderId="8" fillId="2" fontId="3" numFmtId="0" xfId="0" applyAlignment="1" applyBorder="1" applyFont="1">
      <alignment readingOrder="0"/>
    </xf>
    <xf borderId="8" fillId="2" fontId="3" numFmtId="0" xfId="0" applyAlignment="1" applyBorder="1" applyFont="1">
      <alignment horizontal="right" readingOrder="0" vertical="top"/>
    </xf>
    <xf borderId="8" fillId="2" fontId="3" numFmtId="0" xfId="0" applyAlignment="1" applyBorder="1" applyFont="1">
      <alignment readingOrder="0" vertical="top"/>
    </xf>
    <xf borderId="8" fillId="2" fontId="3" numFmtId="0" xfId="0" applyAlignment="1" applyBorder="1" applyFont="1">
      <alignment horizontal="right" vertical="top"/>
    </xf>
    <xf borderId="9" fillId="2" fontId="3" numFmtId="0" xfId="0" applyAlignment="1" applyBorder="1" applyFont="1">
      <alignment readingOrder="0" vertical="top"/>
    </xf>
    <xf borderId="0" fillId="2" fontId="3" numFmtId="0" xfId="0" applyAlignment="1" applyFont="1">
      <alignment horizontal="center"/>
    </xf>
    <xf borderId="10" fillId="2" fontId="3" numFmtId="0" xfId="0" applyAlignment="1" applyBorder="1" applyFont="1">
      <alignment horizontal="center"/>
    </xf>
    <xf borderId="0" fillId="2" fontId="11" numFmtId="0" xfId="0" applyAlignment="1" applyFont="1">
      <alignment horizontal="right" readingOrder="0"/>
    </xf>
    <xf borderId="1" fillId="5" fontId="3" numFmtId="0" xfId="0" applyAlignment="1" applyBorder="1" applyFont="1">
      <alignment readingOrder="0"/>
    </xf>
    <xf borderId="0" fillId="5" fontId="3" numFmtId="0" xfId="0" applyAlignment="1" applyFont="1">
      <alignment horizontal="right" readingOrder="0" vertical="top"/>
    </xf>
    <xf borderId="2" fillId="5" fontId="3" numFmtId="0" xfId="0" applyAlignment="1" applyBorder="1" applyFont="1">
      <alignment readingOrder="0" vertical="top"/>
    </xf>
    <xf borderId="10" fillId="2" fontId="11" numFmtId="0" xfId="0" applyAlignment="1" applyBorder="1" applyFont="1">
      <alignment horizontal="right" readingOrder="0"/>
    </xf>
    <xf borderId="1" fillId="3" fontId="3" numFmtId="0" xfId="0" applyAlignment="1" applyBorder="1" applyFont="1">
      <alignment horizontal="right" vertical="top"/>
    </xf>
    <xf borderId="13" fillId="3" fontId="3" numFmtId="0" xfId="0" applyAlignment="1" applyBorder="1" applyFont="1">
      <alignment readingOrder="0" vertical="top"/>
    </xf>
    <xf borderId="0" fillId="2" fontId="12" numFmtId="0" xfId="0" applyAlignment="1" applyFont="1">
      <alignment horizontal="right" readingOrder="0" vertical="top"/>
    </xf>
    <xf borderId="12" fillId="6" fontId="3" numFmtId="0" xfId="0" applyAlignment="1" applyBorder="1" applyFont="1">
      <alignment readingOrder="0"/>
    </xf>
    <xf borderId="10" fillId="6" fontId="3" numFmtId="0" xfId="0" applyAlignment="1" applyBorder="1" applyFont="1">
      <alignment readingOrder="0"/>
    </xf>
    <xf borderId="10" fillId="6" fontId="3" numFmtId="0" xfId="0" applyAlignment="1" applyBorder="1" applyFont="1">
      <alignment horizontal="center" readingOrder="0"/>
    </xf>
    <xf borderId="10" fillId="6" fontId="3" numFmtId="0" xfId="0" applyAlignment="1" applyBorder="1" applyFont="1">
      <alignment horizontal="right" readingOrder="0" vertical="top"/>
    </xf>
    <xf borderId="10" fillId="6" fontId="3" numFmtId="0" xfId="0" applyAlignment="1" applyBorder="1" applyFont="1">
      <alignment readingOrder="0" vertical="top"/>
    </xf>
    <xf borderId="10" fillId="6" fontId="3" numFmtId="0" xfId="0" applyAlignment="1" applyBorder="1" applyFont="1">
      <alignment vertical="top"/>
    </xf>
    <xf borderId="10" fillId="6" fontId="3" numFmtId="0" xfId="0" applyAlignment="1" applyBorder="1" applyFont="1">
      <alignment horizontal="right" vertical="top"/>
    </xf>
    <xf borderId="11" fillId="6" fontId="3" numFmtId="0" xfId="0" applyAlignment="1" applyBorder="1" applyFont="1">
      <alignment readingOrder="0" vertical="top"/>
    </xf>
    <xf borderId="0" fillId="2" fontId="13" numFmtId="0" xfId="0" applyAlignment="1" applyFont="1">
      <alignment horizontal="right" vertical="top"/>
    </xf>
    <xf borderId="0" fillId="2" fontId="9" numFmtId="0" xfId="0" applyAlignment="1" applyFont="1">
      <alignment horizontal="right" vertical="top"/>
    </xf>
    <xf borderId="10" fillId="2" fontId="13" numFmtId="0" xfId="0" applyAlignment="1" applyBorder="1" applyFont="1">
      <alignment horizontal="right" vertical="top"/>
    </xf>
    <xf borderId="0" fillId="0" fontId="3" numFmtId="0" xfId="0" applyAlignment="1" applyFont="1">
      <alignment horizontal="center" readingOrder="0"/>
    </xf>
    <xf borderId="0" fillId="0" fontId="3" numFmtId="0" xfId="0" applyAlignment="1" applyFont="1">
      <alignment readingOrder="0"/>
    </xf>
    <xf borderId="0" fillId="0" fontId="14" numFmtId="0" xfId="0" applyAlignment="1" applyFont="1">
      <alignment readingOrder="0"/>
    </xf>
    <xf borderId="0" fillId="0" fontId="3" numFmtId="0" xfId="0" applyAlignment="1" applyFont="1">
      <alignment horizontal="right" readingOrder="0" vertical="top"/>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horizontal="right" vertical="top"/>
    </xf>
    <xf borderId="0" fillId="2" fontId="11" numFmtId="0" xfId="0" applyAlignment="1" applyFont="1">
      <alignment horizontal="left" readingOrder="0"/>
    </xf>
    <xf borderId="0" fillId="2" fontId="11" numFmtId="0" xfId="0" applyAlignment="1" applyFont="1">
      <alignment horizontal="right" readingOrder="0" vertical="top"/>
    </xf>
    <xf borderId="0" fillId="6" fontId="8" numFmtId="0" xfId="0" applyAlignment="1" applyFont="1">
      <alignment horizontal="right" vertical="top"/>
    </xf>
    <xf borderId="0" fillId="6" fontId="3" numFmtId="0" xfId="0" applyFont="1"/>
    <xf borderId="11" fillId="5" fontId="3" numFmtId="0" xfId="0" applyAlignment="1" applyBorder="1" applyFont="1">
      <alignment readingOrder="0" vertical="top"/>
    </xf>
    <xf borderId="0" fillId="6" fontId="3" numFmtId="0" xfId="0" applyAlignment="1" applyFont="1">
      <alignment horizontal="center"/>
    </xf>
    <xf borderId="0" fillId="6" fontId="1" numFmtId="0" xfId="0" applyAlignment="1" applyFont="1">
      <alignment readingOrder="0" vertical="top"/>
    </xf>
    <xf borderId="10" fillId="6" fontId="3" numFmtId="0" xfId="0" applyAlignment="1" applyBorder="1" applyFont="1">
      <alignment horizontal="center"/>
    </xf>
    <xf borderId="10" fillId="6" fontId="1" numFmtId="0" xfId="0" applyAlignment="1" applyBorder="1" applyFont="1">
      <alignment readingOrder="0" vertical="top"/>
    </xf>
    <xf borderId="0" fillId="2" fontId="0" numFmtId="0" xfId="0" applyAlignment="1" applyFont="1">
      <alignment horizontal="right" vertical="top"/>
    </xf>
    <xf borderId="0" fillId="3" fontId="3" numFmtId="0" xfId="0" applyAlignment="1" applyFont="1">
      <alignment horizontal="left" readingOrder="0"/>
    </xf>
    <xf borderId="0" fillId="2" fontId="15" numFmtId="0" xfId="0" applyAlignment="1" applyFont="1">
      <alignment horizontal="center" readingOrder="0"/>
    </xf>
    <xf borderId="0" fillId="6" fontId="15" numFmtId="0" xfId="0" applyAlignment="1" applyFont="1">
      <alignment horizontal="center" readingOrder="0"/>
    </xf>
    <xf borderId="0" fillId="6" fontId="11" numFmtId="0" xfId="0" applyAlignment="1" applyFont="1">
      <alignment horizontal="right" readingOrder="0"/>
    </xf>
    <xf borderId="10" fillId="6" fontId="15" numFmtId="0" xfId="0" applyAlignment="1" applyBorder="1" applyFont="1">
      <alignment horizontal="center" readingOrder="0"/>
    </xf>
    <xf borderId="0" fillId="3" fontId="15" numFmtId="0" xfId="0" applyAlignment="1" applyFont="1">
      <alignment horizontal="center" readingOrder="0"/>
    </xf>
    <xf borderId="12" fillId="7" fontId="3" numFmtId="0" xfId="0" applyAlignment="1" applyBorder="1" applyFont="1">
      <alignment readingOrder="0"/>
    </xf>
    <xf borderId="10" fillId="7" fontId="3" numFmtId="0" xfId="0" applyAlignment="1" applyBorder="1" applyFont="1">
      <alignment readingOrder="0"/>
    </xf>
    <xf borderId="10" fillId="7" fontId="3" numFmtId="0" xfId="0" applyAlignment="1" applyBorder="1" applyFont="1">
      <alignment horizontal="center" readingOrder="0"/>
    </xf>
    <xf borderId="10" fillId="7" fontId="3" numFmtId="0" xfId="0" applyAlignment="1" applyBorder="1" applyFont="1">
      <alignment horizontal="right" readingOrder="0" vertical="top"/>
    </xf>
    <xf borderId="10" fillId="7" fontId="3" numFmtId="0" xfId="0" applyAlignment="1" applyBorder="1" applyFont="1">
      <alignment readingOrder="0" vertical="top"/>
    </xf>
    <xf borderId="10" fillId="7" fontId="3" numFmtId="0" xfId="0" applyAlignment="1" applyBorder="1" applyFont="1">
      <alignment horizontal="right" vertical="top"/>
    </xf>
    <xf borderId="11" fillId="7" fontId="3" numFmtId="0" xfId="0" applyAlignment="1" applyBorder="1" applyFont="1">
      <alignment readingOrder="0" vertical="top"/>
    </xf>
    <xf borderId="6" fillId="5" fontId="3" numFmtId="0" xfId="0" applyAlignment="1" applyBorder="1" applyFont="1">
      <alignment readingOrder="0"/>
    </xf>
    <xf borderId="8" fillId="5" fontId="16" numFmtId="0" xfId="0" applyAlignment="1" applyBorder="1" applyFont="1">
      <alignment readingOrder="0"/>
    </xf>
    <xf borderId="8" fillId="5" fontId="3" numFmtId="0" xfId="0" applyAlignment="1" applyBorder="1" applyFont="1">
      <alignment horizontal="center" readingOrder="0"/>
    </xf>
    <xf borderId="8" fillId="5" fontId="3" numFmtId="0" xfId="0" applyAlignment="1" applyBorder="1" applyFont="1">
      <alignment readingOrder="0"/>
    </xf>
    <xf borderId="8" fillId="5" fontId="3" numFmtId="0" xfId="0" applyAlignment="1" applyBorder="1" applyFont="1">
      <alignment horizontal="right" readingOrder="0" vertical="top"/>
    </xf>
    <xf borderId="8" fillId="5" fontId="3" numFmtId="0" xfId="0" applyAlignment="1" applyBorder="1" applyFont="1">
      <alignment readingOrder="0" vertical="top"/>
    </xf>
    <xf borderId="8" fillId="5" fontId="3" numFmtId="0" xfId="0" applyAlignment="1" applyBorder="1" applyFont="1">
      <alignment horizontal="right" vertical="top"/>
    </xf>
    <xf borderId="9" fillId="5" fontId="17" numFmtId="0" xfId="0" applyAlignment="1" applyBorder="1" applyFont="1">
      <alignment readingOrder="0" vertical="top"/>
    </xf>
    <xf borderId="12" fillId="5" fontId="3" numFmtId="0" xfId="0" applyAlignment="1" applyBorder="1" applyFont="1">
      <alignment readingOrder="0"/>
    </xf>
    <xf borderId="10" fillId="5" fontId="3" numFmtId="0" xfId="0" applyAlignment="1" applyBorder="1" applyFont="1">
      <alignment readingOrder="0"/>
    </xf>
    <xf borderId="10" fillId="5" fontId="3" numFmtId="0" xfId="0" applyAlignment="1" applyBorder="1" applyFont="1">
      <alignment horizontal="center" readingOrder="0"/>
    </xf>
    <xf borderId="10" fillId="5" fontId="3" numFmtId="0" xfId="0" applyAlignment="1" applyBorder="1" applyFont="1">
      <alignment horizontal="right" readingOrder="0" vertical="top"/>
    </xf>
    <xf borderId="10" fillId="5" fontId="3" numFmtId="0" xfId="0" applyAlignment="1" applyBorder="1" applyFont="1">
      <alignment readingOrder="0" vertical="top"/>
    </xf>
    <xf borderId="10" fillId="5" fontId="3" numFmtId="0" xfId="0" applyAlignment="1" applyBorder="1" applyFont="1">
      <alignment vertical="top"/>
    </xf>
    <xf borderId="10" fillId="5" fontId="3" numFmtId="0" xfId="0" applyAlignment="1" applyBorder="1" applyFont="1">
      <alignment horizontal="right" vertical="top"/>
    </xf>
    <xf borderId="0" fillId="5" fontId="3" numFmtId="0" xfId="0" applyAlignment="1" applyFont="1">
      <alignment horizontal="center"/>
    </xf>
    <xf quotePrefix="1" borderId="2" fillId="5" fontId="3" numFmtId="0" xfId="0" applyAlignment="1" applyBorder="1" applyFont="1">
      <alignment readingOrder="0" vertical="top"/>
    </xf>
    <xf borderId="10" fillId="5" fontId="3" numFmtId="0" xfId="0" applyAlignment="1" applyBorder="1" applyFont="1">
      <alignment horizontal="center"/>
    </xf>
    <xf borderId="10" fillId="5" fontId="3" numFmtId="0" xfId="0" applyBorder="1" applyFont="1"/>
    <xf borderId="0" fillId="3" fontId="18" numFmtId="0" xfId="0" applyAlignment="1" applyFont="1">
      <alignment vertical="bottom"/>
    </xf>
    <xf borderId="0" fillId="3" fontId="9" numFmtId="0" xfId="0" applyAlignment="1" applyFont="1">
      <alignment vertical="bottom"/>
    </xf>
    <xf borderId="0" fillId="3" fontId="9" numFmtId="0" xfId="0" applyAlignment="1" applyFont="1">
      <alignment horizontal="center" vertical="bottom"/>
    </xf>
    <xf borderId="0" fillId="3" fontId="9" numFmtId="0" xfId="0" applyAlignment="1" applyFont="1">
      <alignment horizontal="right" vertical="bottom"/>
    </xf>
    <xf borderId="0" fillId="3" fontId="9" numFmtId="0" xfId="0" applyAlignment="1" applyFont="1">
      <alignment horizontal="center" readingOrder="0" vertical="bottom"/>
    </xf>
    <xf borderId="0" fillId="3" fontId="9" numFmtId="0" xfId="0" applyAlignment="1" applyFont="1">
      <alignment horizontal="center" vertical="bottom"/>
    </xf>
    <xf borderId="0" fillId="3" fontId="9" numFmtId="0" xfId="0" applyAlignment="1" applyFont="1">
      <alignment vertical="bottom"/>
    </xf>
    <xf borderId="8" fillId="6" fontId="19" numFmtId="0" xfId="0" applyAlignment="1" applyBorder="1" applyFont="1">
      <alignment vertical="bottom"/>
    </xf>
    <xf borderId="8" fillId="6" fontId="9" numFmtId="0" xfId="0" applyAlignment="1" applyBorder="1" applyFont="1">
      <alignment horizontal="center" vertical="bottom"/>
    </xf>
    <xf borderId="8" fillId="6" fontId="9" numFmtId="0" xfId="0" applyAlignment="1" applyBorder="1" applyFont="1">
      <alignment horizontal="center" readingOrder="0" vertical="bottom"/>
    </xf>
    <xf borderId="8" fillId="6" fontId="9" numFmtId="0" xfId="0" applyAlignment="1" applyBorder="1" applyFont="1">
      <alignment vertical="bottom"/>
    </xf>
    <xf borderId="8" fillId="6" fontId="9" numFmtId="0" xfId="0" applyAlignment="1" applyBorder="1" applyFont="1">
      <alignment horizontal="right" vertical="bottom"/>
    </xf>
    <xf borderId="0" fillId="6" fontId="20" numFmtId="0" xfId="0" applyAlignment="1" applyFont="1">
      <alignment vertical="bottom"/>
    </xf>
    <xf borderId="0" fillId="6" fontId="9" numFmtId="0" xfId="0" applyAlignment="1" applyFont="1">
      <alignment horizontal="center" vertical="bottom"/>
    </xf>
    <xf borderId="0" fillId="6" fontId="9" numFmtId="0" xfId="0" applyAlignment="1" applyFont="1">
      <alignment horizontal="center" readingOrder="0" vertical="bottom"/>
    </xf>
    <xf borderId="0" fillId="6" fontId="9" numFmtId="0" xfId="0" applyAlignment="1" applyFont="1">
      <alignment vertical="bottom"/>
    </xf>
    <xf borderId="0" fillId="6" fontId="9" numFmtId="0" xfId="0" applyAlignment="1" applyFont="1">
      <alignment horizontal="right" vertical="bottom"/>
    </xf>
    <xf borderId="0" fillId="2" fontId="21" numFmtId="0" xfId="0" applyAlignment="1" applyFont="1">
      <alignment vertical="bottom"/>
    </xf>
    <xf borderId="0" fillId="2" fontId="9" numFmtId="0" xfId="0" applyAlignment="1" applyFont="1">
      <alignment horizontal="center" vertical="bottom"/>
    </xf>
    <xf borderId="0" fillId="2" fontId="9" numFmtId="0" xfId="0" applyAlignment="1" applyFont="1">
      <alignment horizontal="center" readingOrder="0" vertical="bottom"/>
    </xf>
    <xf borderId="0" fillId="2" fontId="9" numFmtId="0" xfId="0" applyAlignment="1" applyFont="1">
      <alignment vertical="bottom"/>
    </xf>
    <xf borderId="0" fillId="2" fontId="9" numFmtId="0" xfId="0" applyAlignment="1" applyFont="1">
      <alignment horizontal="right" vertical="bottom"/>
    </xf>
    <xf borderId="10" fillId="6" fontId="22" numFmtId="0" xfId="0" applyAlignment="1" applyBorder="1" applyFont="1">
      <alignment vertical="bottom"/>
    </xf>
    <xf borderId="10" fillId="6" fontId="9" numFmtId="0" xfId="0" applyAlignment="1" applyBorder="1" applyFont="1">
      <alignment horizontal="center" vertical="bottom"/>
    </xf>
    <xf borderId="10" fillId="6" fontId="9" numFmtId="0" xfId="0" applyAlignment="1" applyBorder="1" applyFont="1">
      <alignment horizontal="center" readingOrder="0" vertical="bottom"/>
    </xf>
    <xf borderId="10" fillId="6" fontId="9" numFmtId="0" xfId="0" applyAlignment="1" applyBorder="1" applyFont="1">
      <alignment vertical="bottom"/>
    </xf>
    <xf borderId="10" fillId="6" fontId="9" numFmtId="0" xfId="0" applyAlignment="1" applyBorder="1" applyFont="1">
      <alignment horizontal="right" vertical="bottom"/>
    </xf>
    <xf borderId="0" fillId="3" fontId="9" numFmtId="0" xfId="0" applyAlignment="1" applyFont="1">
      <alignment horizontal="right" vertical="bottom"/>
    </xf>
    <xf borderId="2" fillId="5" fontId="3" numFmtId="0" xfId="0" applyAlignment="1" applyBorder="1" applyFont="1">
      <alignment readingOrder="0"/>
    </xf>
    <xf borderId="11" fillId="5" fontId="23" numFmtId="0" xfId="0" applyAlignment="1" applyBorder="1" applyFont="1">
      <alignment horizontal="left" readingOrder="0"/>
    </xf>
    <xf borderId="0" fillId="3" fontId="24" numFmtId="0" xfId="0" applyAlignment="1" applyFont="1">
      <alignment readingOrder="0"/>
    </xf>
    <xf borderId="0" fillId="2" fontId="25" numFmtId="0" xfId="0" applyAlignment="1" applyFont="1">
      <alignment horizontal="center" readingOrder="0"/>
    </xf>
    <xf borderId="6" fillId="2" fontId="25" numFmtId="0" xfId="0" applyAlignment="1" applyBorder="1" applyFont="1">
      <alignment readingOrder="0"/>
    </xf>
    <xf borderId="8" fillId="2" fontId="0" numFmtId="0" xfId="0" applyAlignment="1" applyBorder="1" applyFont="1">
      <alignment horizontal="right" readingOrder="0" vertical="top"/>
    </xf>
    <xf borderId="1" fillId="2" fontId="25" numFmtId="0" xfId="0" applyAlignment="1" applyBorder="1" applyFont="1">
      <alignment readingOrder="0"/>
    </xf>
    <xf borderId="0" fillId="2" fontId="23" numFmtId="0" xfId="0" applyAlignment="1" applyFont="1">
      <alignment horizontal="right" readingOrder="0" vertical="top"/>
    </xf>
    <xf borderId="9" fillId="5" fontId="3" numFmtId="0" xfId="0" applyAlignment="1" applyBorder="1" applyFont="1">
      <alignment readingOrder="0" vertical="top"/>
    </xf>
    <xf borderId="0" fillId="7" fontId="0" numFmtId="0" xfId="0" applyAlignment="1" applyFont="1">
      <alignment horizontal="right" readingOrder="0" vertical="top"/>
    </xf>
    <xf borderId="8" fillId="2" fontId="11" numFmtId="0" xfId="0" applyAlignment="1" applyBorder="1" applyFont="1">
      <alignment horizontal="right" readingOrder="0" vertical="top"/>
    </xf>
    <xf borderId="8" fillId="2" fontId="26" numFmtId="0" xfId="0" applyAlignment="1" applyBorder="1" applyFont="1">
      <alignment horizontal="right" vertical="top"/>
    </xf>
    <xf borderId="0" fillId="2" fontId="26" numFmtId="0" xfId="0" applyAlignment="1" applyFont="1">
      <alignment horizontal="right" vertical="top"/>
    </xf>
    <xf borderId="8" fillId="2" fontId="0" numFmtId="0" xfId="0" applyAlignment="1" applyBorder="1" applyFont="1">
      <alignment horizontal="right" vertical="top"/>
    </xf>
    <xf borderId="9" fillId="2" fontId="3" numFmtId="0" xfId="0" applyBorder="1" applyFont="1"/>
    <xf borderId="10" fillId="2" fontId="26" numFmtId="0" xfId="0" applyAlignment="1" applyBorder="1" applyFont="1">
      <alignment horizontal="right" vertical="top"/>
    </xf>
    <xf borderId="10" fillId="2" fontId="11" numFmtId="0" xfId="0" applyAlignment="1" applyBorder="1" applyFont="1">
      <alignment horizontal="right" readingOrder="0" vertical="top"/>
    </xf>
    <xf borderId="10" fillId="6" fontId="11" numFmtId="0" xfId="0" applyAlignment="1" applyBorder="1" applyFont="1">
      <alignment horizontal="right" readingOrder="0" vertical="top"/>
    </xf>
    <xf borderId="6" fillId="7" fontId="3" numFmtId="0" xfId="0" applyAlignment="1" applyBorder="1" applyFont="1">
      <alignment readingOrder="0"/>
    </xf>
    <xf borderId="8" fillId="7" fontId="27" numFmtId="0" xfId="0" applyAlignment="1" applyBorder="1" applyFont="1">
      <alignment readingOrder="0"/>
    </xf>
    <xf borderId="8" fillId="7" fontId="3" numFmtId="0" xfId="0" applyAlignment="1" applyBorder="1" applyFont="1">
      <alignment horizontal="center" readingOrder="0"/>
    </xf>
    <xf borderId="8" fillId="7" fontId="3" numFmtId="0" xfId="0" applyAlignment="1" applyBorder="1" applyFont="1">
      <alignment readingOrder="0"/>
    </xf>
    <xf borderId="8" fillId="7" fontId="3" numFmtId="0" xfId="0" applyAlignment="1" applyBorder="1" applyFont="1">
      <alignment horizontal="right" readingOrder="0" vertical="top"/>
    </xf>
    <xf borderId="8" fillId="7" fontId="3" numFmtId="0" xfId="0" applyAlignment="1" applyBorder="1" applyFont="1">
      <alignment readingOrder="0" vertical="top"/>
    </xf>
    <xf borderId="8" fillId="7" fontId="3" numFmtId="0" xfId="0" applyAlignment="1" applyBorder="1" applyFont="1">
      <alignment horizontal="right" vertical="top"/>
    </xf>
    <xf borderId="9" fillId="7" fontId="3" numFmtId="0" xfId="0" applyAlignment="1" applyBorder="1" applyFont="1">
      <alignment readingOrder="0" vertical="top"/>
    </xf>
    <xf borderId="8" fillId="2" fontId="3" numFmtId="0" xfId="0" applyBorder="1" applyFont="1"/>
    <xf borderId="8" fillId="2" fontId="3" numFmtId="0" xfId="0" applyAlignment="1" applyBorder="1" applyFont="1">
      <alignment horizontal="center"/>
    </xf>
    <xf borderId="0" fillId="7" fontId="3" numFmtId="0" xfId="0" applyAlignment="1" applyFont="1">
      <alignment horizontal="center"/>
    </xf>
    <xf borderId="0" fillId="7" fontId="0" numFmtId="0" xfId="0" applyAlignment="1" applyFont="1">
      <alignment horizontal="right" vertical="top"/>
    </xf>
    <xf borderId="0" fillId="6" fontId="28" numFmtId="0" xfId="0" applyAlignment="1" applyFont="1">
      <alignment readingOrder="0"/>
    </xf>
    <xf borderId="8" fillId="5" fontId="3" numFmtId="0" xfId="0" applyAlignment="1" applyBorder="1" applyFont="1">
      <alignment horizontal="center"/>
    </xf>
    <xf borderId="8" fillId="7" fontId="3" numFmtId="0" xfId="0" applyAlignment="1" applyBorder="1" applyFont="1">
      <alignment horizontal="center"/>
    </xf>
    <xf borderId="10" fillId="2" fontId="0" numFmtId="0" xfId="0" applyAlignment="1" applyBorder="1" applyFont="1">
      <alignment horizontal="right" vertical="top"/>
    </xf>
    <xf quotePrefix="1" borderId="0" fillId="3" fontId="3" numFmtId="0" xfId="0" applyAlignment="1" applyFont="1">
      <alignment horizontal="right" readingOrder="0" vertical="top"/>
    </xf>
    <xf borderId="8" fillId="2" fontId="3" numFmtId="0" xfId="0" applyAlignment="1" applyBorder="1" applyFont="1">
      <alignment horizontal="right" readingOrder="0"/>
    </xf>
    <xf borderId="0" fillId="2" fontId="29" numFmtId="0" xfId="0" applyAlignment="1" applyFont="1">
      <alignment readingOrder="0" vertical="top"/>
    </xf>
    <xf borderId="10" fillId="2" fontId="3" numFmtId="0" xfId="0" applyAlignment="1" applyBorder="1" applyFont="1">
      <alignment horizontal="right" readingOrder="0"/>
    </xf>
    <xf borderId="8" fillId="5" fontId="3" numFmtId="0" xfId="0" applyAlignment="1" applyBorder="1" applyFont="1">
      <alignment vertical="top"/>
    </xf>
    <xf borderId="14" fillId="2" fontId="3" numFmtId="0" xfId="0" applyAlignment="1" applyBorder="1" applyFont="1">
      <alignment readingOrder="0"/>
    </xf>
    <xf borderId="13" fillId="2" fontId="30" numFmtId="0" xfId="0" applyAlignment="1" applyBorder="1" applyFont="1">
      <alignment readingOrder="0"/>
    </xf>
    <xf borderId="13" fillId="2" fontId="3" numFmtId="0" xfId="0" applyAlignment="1" applyBorder="1" applyFont="1">
      <alignment horizontal="center" readingOrder="0"/>
    </xf>
    <xf borderId="13" fillId="2" fontId="3" numFmtId="0" xfId="0" applyAlignment="1" applyBorder="1" applyFont="1">
      <alignment readingOrder="0"/>
    </xf>
    <xf borderId="13" fillId="2" fontId="3" numFmtId="0" xfId="0" applyAlignment="1" applyBorder="1" applyFont="1">
      <alignment readingOrder="0" vertical="top"/>
    </xf>
    <xf borderId="13" fillId="2" fontId="3" numFmtId="0" xfId="0" applyAlignment="1" applyBorder="1" applyFont="1">
      <alignment horizontal="right" readingOrder="0" vertical="top"/>
    </xf>
    <xf borderId="13" fillId="2" fontId="11" numFmtId="0" xfId="0" applyAlignment="1" applyBorder="1" applyFont="1">
      <alignment horizontal="right" readingOrder="0" vertical="top"/>
    </xf>
    <xf borderId="13" fillId="2" fontId="3" numFmtId="0" xfId="0" applyAlignment="1" applyBorder="1" applyFont="1">
      <alignment horizontal="right" vertical="top"/>
    </xf>
    <xf borderId="15" fillId="2" fontId="3" numFmtId="0" xfId="0" applyAlignment="1" applyBorder="1" applyFont="1">
      <alignment readingOrder="0" vertical="top"/>
    </xf>
    <xf borderId="0" fillId="2" fontId="0" numFmtId="0" xfId="0" applyAlignment="1" applyFont="1">
      <alignment horizontal="right" readingOrder="0" vertical="top"/>
    </xf>
    <xf borderId="14" fillId="3" fontId="3" numFmtId="0" xfId="0" applyAlignment="1" applyBorder="1" applyFont="1">
      <alignment readingOrder="0"/>
    </xf>
    <xf borderId="13" fillId="3" fontId="31" numFmtId="0" xfId="0" applyAlignment="1" applyBorder="1" applyFont="1">
      <alignment readingOrder="0"/>
    </xf>
    <xf borderId="13" fillId="3" fontId="3" numFmtId="0" xfId="0" applyAlignment="1" applyBorder="1" applyFont="1">
      <alignment horizontal="center" readingOrder="0"/>
    </xf>
    <xf borderId="13" fillId="3" fontId="3" numFmtId="0" xfId="0" applyAlignment="1" applyBorder="1" applyFont="1">
      <alignment readingOrder="0"/>
    </xf>
    <xf borderId="13" fillId="3" fontId="3" numFmtId="0" xfId="0" applyAlignment="1" applyBorder="1" applyFont="1">
      <alignment horizontal="right" vertical="top"/>
    </xf>
    <xf borderId="15" fillId="3" fontId="3" numFmtId="0" xfId="0" applyAlignment="1" applyBorder="1" applyFont="1">
      <alignment readingOrder="0" vertical="top"/>
    </xf>
    <xf borderId="8" fillId="2" fontId="3" numFmtId="0" xfId="0" applyAlignment="1" applyBorder="1" applyFont="1">
      <alignment vertical="top"/>
    </xf>
    <xf borderId="13" fillId="2" fontId="9" numFmtId="0" xfId="0" applyAlignment="1" applyBorder="1" applyFont="1">
      <alignment horizontal="center" readingOrder="0"/>
    </xf>
    <xf borderId="13" fillId="2" fontId="11" numFmtId="0" xfId="0" applyAlignment="1" applyBorder="1" applyFont="1">
      <alignment readingOrder="0"/>
    </xf>
    <xf borderId="13" fillId="2" fontId="9" numFmtId="0" xfId="0" applyAlignment="1" applyBorder="1" applyFont="1">
      <alignment readingOrder="0"/>
    </xf>
    <xf borderId="0" fillId="8" fontId="3" numFmtId="0" xfId="0" applyAlignment="1" applyFill="1" applyFont="1">
      <alignment horizontal="center" readingOrder="0"/>
    </xf>
    <xf borderId="8" fillId="2" fontId="12" numFmtId="0" xfId="0" applyAlignment="1" applyBorder="1" applyFont="1">
      <alignment horizontal="right" readingOrder="0" vertical="top"/>
    </xf>
    <xf borderId="8" fillId="2" fontId="12" numFmtId="0" xfId="0" applyAlignment="1" applyBorder="1" applyFont="1">
      <alignment horizontal="right" vertical="top"/>
    </xf>
    <xf borderId="0" fillId="9" fontId="3" numFmtId="0" xfId="0" applyFill="1" applyFont="1"/>
    <xf borderId="0" fillId="2" fontId="12" numFmtId="0" xfId="0" applyAlignment="1" applyFont="1">
      <alignment horizontal="right" vertical="top"/>
    </xf>
    <xf borderId="0" fillId="6" fontId="12" numFmtId="0" xfId="0" applyAlignment="1" applyFont="1">
      <alignment horizontal="right" vertical="top"/>
    </xf>
    <xf borderId="0" fillId="6" fontId="11" numFmtId="0" xfId="0" applyAlignment="1" applyFont="1">
      <alignment horizontal="left" readingOrder="0"/>
    </xf>
    <xf borderId="0" fillId="6" fontId="32" numFmtId="0" xfId="0" applyAlignment="1" applyFont="1">
      <alignment horizontal="right" readingOrder="0" vertical="top"/>
    </xf>
    <xf borderId="2" fillId="2" fontId="1" numFmtId="0" xfId="0" applyAlignment="1" applyBorder="1" applyFont="1">
      <alignment readingOrder="0" vertical="top"/>
    </xf>
    <xf borderId="10" fillId="6" fontId="32" numFmtId="0" xfId="0" applyAlignment="1" applyBorder="1" applyFont="1">
      <alignment horizontal="right" readingOrder="0" vertical="top"/>
    </xf>
    <xf borderId="10" fillId="6" fontId="12" numFmtId="0" xfId="0" applyAlignment="1" applyBorder="1" applyFont="1">
      <alignment horizontal="right" vertical="top"/>
    </xf>
    <xf borderId="0" fillId="5" fontId="3" numFmtId="0" xfId="0" applyAlignment="1" applyFont="1">
      <alignment horizontal="left" readingOrder="0"/>
    </xf>
    <xf borderId="8" fillId="2" fontId="0" numFmtId="0" xfId="0" applyAlignment="1" applyBorder="1" applyFont="1">
      <alignment horizontal="right" readingOrder="0"/>
    </xf>
    <xf borderId="0" fillId="6" fontId="3" numFmtId="0" xfId="0" applyAlignment="1" applyFont="1">
      <alignment horizontal="left" readingOrder="0"/>
    </xf>
    <xf borderId="8" fillId="2" fontId="3" numFmtId="0" xfId="0" applyAlignment="1" applyBorder="1" applyFont="1">
      <alignment horizontal="left" readingOrder="0"/>
    </xf>
    <xf borderId="0" fillId="2" fontId="3" numFmtId="0" xfId="0" applyAlignment="1" applyFont="1">
      <alignment horizontal="left" readingOrder="0"/>
    </xf>
    <xf borderId="10" fillId="2" fontId="3" numFmtId="0" xfId="0" applyBorder="1" applyFont="1"/>
    <xf borderId="10" fillId="2" fontId="0" numFmtId="0" xfId="0" applyAlignment="1" applyBorder="1" applyFont="1">
      <alignment horizontal="right" readingOrder="0" vertical="top"/>
    </xf>
    <xf borderId="0" fillId="3" fontId="33" numFmtId="0" xfId="0" applyAlignment="1" applyFont="1">
      <alignment horizontal="center" readingOrder="0" textRotation="135"/>
    </xf>
    <xf borderId="6" fillId="2" fontId="3" numFmtId="0" xfId="0" applyAlignment="1" applyBorder="1" applyFont="1">
      <alignment horizontal="center" readingOrder="0"/>
    </xf>
    <xf borderId="1" fillId="2" fontId="3" numFmtId="0" xfId="0" applyAlignment="1" applyBorder="1" applyFont="1">
      <alignment horizontal="center" readingOrder="0"/>
    </xf>
    <xf borderId="0" fillId="2" fontId="0" numFmtId="0" xfId="0" applyAlignment="1" applyFont="1">
      <alignment horizontal="right" readingOrder="0"/>
    </xf>
    <xf borderId="0" fillId="2" fontId="0" numFmtId="0" xfId="0" applyAlignment="1" applyFont="1">
      <alignment horizontal="left" readingOrder="0" vertical="top"/>
    </xf>
    <xf borderId="1" fillId="6" fontId="3" numFmtId="0" xfId="0" applyAlignment="1" applyBorder="1" applyFont="1">
      <alignment horizontal="center" readingOrder="0"/>
    </xf>
    <xf borderId="12" fillId="2" fontId="3" numFmtId="0" xfId="0" applyAlignment="1" applyBorder="1" applyFont="1">
      <alignment horizontal="center" readingOrder="0"/>
    </xf>
    <xf borderId="0" fillId="6" fontId="3" numFmtId="0" xfId="0" applyAlignment="1" applyFont="1">
      <alignment horizontal="right" readingOrder="0"/>
    </xf>
    <xf borderId="12" fillId="6" fontId="3" numFmtId="0" xfId="0" applyAlignment="1" applyBorder="1" applyFont="1">
      <alignment horizontal="center" readingOrder="0"/>
    </xf>
    <xf borderId="10" fillId="6" fontId="3" numFmtId="0" xfId="0" applyAlignment="1" applyBorder="1" applyFont="1">
      <alignment horizontal="right" readingOrder="0"/>
    </xf>
    <xf borderId="6" fillId="6" fontId="3" numFmtId="0" xfId="0" applyAlignment="1" applyBorder="1" applyFont="1">
      <alignment horizontal="center" readingOrder="0"/>
    </xf>
    <xf borderId="8" fillId="6" fontId="3" numFmtId="0" xfId="0" applyAlignment="1" applyBorder="1" applyFont="1">
      <alignment horizontal="center"/>
    </xf>
    <xf borderId="1" fillId="7" fontId="3" numFmtId="0" xfId="0" applyAlignment="1" applyBorder="1" applyFont="1">
      <alignment horizontal="center" readingOrder="0"/>
    </xf>
    <xf borderId="0" fillId="7" fontId="3" numFmtId="0" xfId="0" applyAlignment="1" applyFont="1">
      <alignment horizontal="right" readingOrder="0"/>
    </xf>
    <xf borderId="0" fillId="3" fontId="34" numFmtId="0" xfId="0" applyAlignment="1" applyFont="1">
      <alignment readingOrder="0"/>
    </xf>
    <xf borderId="8" fillId="2" fontId="11" numFmtId="0" xfId="0" applyAlignment="1" applyBorder="1" applyFont="1">
      <alignment horizontal="center" readingOrder="0" vertical="top"/>
    </xf>
    <xf borderId="8" fillId="2" fontId="9" numFmtId="0" xfId="0" applyAlignment="1" applyBorder="1" applyFont="1">
      <alignment readingOrder="0" vertical="top"/>
    </xf>
    <xf borderId="8" fillId="2" fontId="35" numFmtId="0" xfId="0" applyAlignment="1" applyBorder="1" applyFont="1">
      <alignment horizontal="center" vertical="top"/>
    </xf>
    <xf borderId="8" fillId="2" fontId="9" numFmtId="0" xfId="0" applyAlignment="1" applyBorder="1" applyFont="1">
      <alignment vertical="top"/>
    </xf>
    <xf borderId="8" fillId="2" fontId="9" numFmtId="0" xfId="0" applyAlignment="1" applyBorder="1" applyFont="1">
      <alignment horizontal="center" vertical="top"/>
    </xf>
    <xf borderId="8" fillId="2" fontId="9" numFmtId="0" xfId="0" applyAlignment="1" applyBorder="1" applyFont="1">
      <alignment vertical="top"/>
    </xf>
    <xf borderId="8" fillId="2" fontId="9" numFmtId="0" xfId="0" applyAlignment="1" applyBorder="1" applyFont="1">
      <alignment horizontal="right" readingOrder="0" vertical="top"/>
    </xf>
    <xf borderId="8" fillId="2" fontId="9" numFmtId="0" xfId="0" applyAlignment="1" applyBorder="1" applyFont="1">
      <alignment horizontal="right" vertical="top"/>
    </xf>
    <xf borderId="8" fillId="2" fontId="9" numFmtId="0" xfId="0" applyAlignment="1" applyBorder="1" applyFont="1">
      <alignment vertical="top"/>
    </xf>
    <xf borderId="8" fillId="2" fontId="9" numFmtId="0" xfId="0" applyAlignment="1" applyBorder="1" applyFont="1">
      <alignment horizontal="right" vertical="top"/>
    </xf>
    <xf borderId="8" fillId="2" fontId="8" numFmtId="0" xfId="0" applyAlignment="1" applyBorder="1" applyFont="1">
      <alignment horizontal="right" vertical="top"/>
    </xf>
    <xf borderId="9" fillId="2" fontId="9" numFmtId="0" xfId="0" applyAlignment="1" applyBorder="1" applyFont="1">
      <alignment vertical="bottom"/>
    </xf>
    <xf borderId="0" fillId="2" fontId="9" numFmtId="0" xfId="0" applyAlignment="1" applyFont="1">
      <alignment vertical="top"/>
    </xf>
    <xf borderId="0" fillId="2" fontId="9" numFmtId="0" xfId="0" applyAlignment="1" applyFont="1">
      <alignment readingOrder="0" vertical="top"/>
    </xf>
    <xf borderId="0" fillId="2" fontId="9" numFmtId="0" xfId="0" applyAlignment="1" applyFont="1">
      <alignment vertical="top"/>
    </xf>
    <xf borderId="0" fillId="2" fontId="9" numFmtId="0" xfId="0" applyAlignment="1" applyFont="1">
      <alignment horizontal="right" readingOrder="0" vertical="top"/>
    </xf>
    <xf borderId="0" fillId="2" fontId="9" numFmtId="0" xfId="0" applyAlignment="1" applyFont="1">
      <alignment horizontal="right" vertical="top"/>
    </xf>
    <xf borderId="0" fillId="2" fontId="9" numFmtId="0" xfId="0" applyAlignment="1" applyFont="1">
      <alignment horizontal="right" vertical="top"/>
    </xf>
    <xf borderId="0" fillId="2" fontId="9" numFmtId="0" xfId="0" applyAlignment="1" applyFont="1">
      <alignment vertical="top"/>
    </xf>
    <xf borderId="10" fillId="2" fontId="9" numFmtId="0" xfId="0" applyAlignment="1" applyBorder="1" applyFont="1">
      <alignment vertical="top"/>
    </xf>
    <xf borderId="10" fillId="2" fontId="9" numFmtId="0" xfId="0" applyAlignment="1" applyBorder="1" applyFont="1">
      <alignment readingOrder="0" vertical="top"/>
    </xf>
    <xf borderId="10" fillId="2" fontId="9" numFmtId="0" xfId="0" applyAlignment="1" applyBorder="1" applyFont="1">
      <alignment vertical="top"/>
    </xf>
    <xf borderId="10" fillId="2" fontId="9" numFmtId="0" xfId="0" applyAlignment="1" applyBorder="1" applyFont="1">
      <alignment horizontal="right" vertical="top"/>
    </xf>
    <xf borderId="10" fillId="2" fontId="9" numFmtId="0" xfId="0" applyAlignment="1" applyBorder="1" applyFont="1">
      <alignment vertical="top"/>
    </xf>
    <xf borderId="10" fillId="2" fontId="9" numFmtId="0" xfId="0" applyAlignment="1" applyBorder="1" applyFont="1">
      <alignment horizontal="right" vertical="top"/>
    </xf>
    <xf borderId="6" fillId="5" fontId="3" numFmtId="0" xfId="0" applyAlignment="1" applyBorder="1" applyFont="1">
      <alignment horizontal="center" readingOrder="0"/>
    </xf>
    <xf borderId="6" fillId="7" fontId="3" numFmtId="0" xfId="0" applyAlignment="1" applyBorder="1" applyFont="1">
      <alignment horizontal="center" readingOrder="0"/>
    </xf>
    <xf borderId="8" fillId="7" fontId="9" numFmtId="0" xfId="0" applyAlignment="1" applyBorder="1" applyFont="1">
      <alignment vertical="top"/>
    </xf>
    <xf borderId="8" fillId="7" fontId="11" numFmtId="0" xfId="0" applyAlignment="1" applyBorder="1" applyFont="1">
      <alignment horizontal="right" readingOrder="0" vertical="top"/>
    </xf>
    <xf quotePrefix="1" borderId="0" fillId="6" fontId="3" numFmtId="0" xfId="0" applyAlignment="1" applyFont="1">
      <alignment horizontal="right" readingOrder="0" vertical="top"/>
    </xf>
    <xf borderId="0" fillId="2" fontId="36" numFmtId="0" xfId="0" applyAlignment="1" applyFont="1">
      <alignment readingOrder="0"/>
    </xf>
    <xf borderId="0" fillId="7" fontId="11" numFmtId="0" xfId="0" applyAlignment="1" applyFont="1">
      <alignment horizontal="left" readingOrder="0"/>
    </xf>
    <xf borderId="10" fillId="3" fontId="3" numFmtId="0" xfId="0" applyAlignment="1" applyBorder="1" applyFont="1">
      <alignment horizontal="center" readingOrder="0"/>
    </xf>
    <xf borderId="10" fillId="3" fontId="3" numFmtId="0" xfId="0" applyAlignment="1" applyBorder="1" applyFont="1">
      <alignment readingOrder="0"/>
    </xf>
    <xf borderId="10" fillId="3" fontId="37" numFmtId="0" xfId="0" applyAlignment="1" applyBorder="1" applyFont="1">
      <alignment readingOrder="0"/>
    </xf>
    <xf borderId="0" fillId="3" fontId="1" numFmtId="0" xfId="0" applyAlignment="1" applyFont="1">
      <alignment horizontal="right" readingOrder="0"/>
    </xf>
    <xf borderId="0" fillId="3" fontId="1" numFmtId="0" xfId="0" applyAlignment="1" applyFont="1">
      <alignment horizontal="center" readingOrder="0"/>
    </xf>
    <xf borderId="0" fillId="3" fontId="1" numFmtId="0" xfId="0" applyAlignment="1" applyFont="1">
      <alignment horizontal="center"/>
    </xf>
    <xf borderId="0" fillId="3" fontId="1"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doi.org/10.1037/apl0000258" TargetMode="External"/><Relationship Id="rId194" Type="http://schemas.openxmlformats.org/officeDocument/2006/relationships/hyperlink" Target="https://doi.org/10.1037/apl0000155" TargetMode="External"/><Relationship Id="rId193" Type="http://schemas.openxmlformats.org/officeDocument/2006/relationships/hyperlink" Target="https://doi.org/10.1037/0021-9010.90.4.792" TargetMode="External"/><Relationship Id="rId192" Type="http://schemas.openxmlformats.org/officeDocument/2006/relationships/hyperlink" Target="https://doi.org/10.1037/0021-9010.90.6.1153" TargetMode="External"/><Relationship Id="rId191" Type="http://schemas.openxmlformats.org/officeDocument/2006/relationships/hyperlink" Target="https://doi.org/10.1037/0021-9010.89.4.715" TargetMode="External"/><Relationship Id="rId187" Type="http://schemas.openxmlformats.org/officeDocument/2006/relationships/hyperlink" Target="https://doi.org/10.1037/0021-9010.88.6.1019" TargetMode="External"/><Relationship Id="rId186" Type="http://schemas.openxmlformats.org/officeDocument/2006/relationships/hyperlink" Target="https://doi.org/10.1037/a0024343" TargetMode="External"/><Relationship Id="rId185" Type="http://schemas.openxmlformats.org/officeDocument/2006/relationships/hyperlink" Target="https://doi.org/10.1037/0021-9010.88.5.809" TargetMode="External"/><Relationship Id="rId184" Type="http://schemas.openxmlformats.org/officeDocument/2006/relationships/hyperlink" Target="https://doi.org/10.1037//0021-9010.85.2.305" TargetMode="External"/><Relationship Id="rId189" Type="http://schemas.openxmlformats.org/officeDocument/2006/relationships/hyperlink" Target="https://doi.org/10.1037/0021-9010.91.1.166" TargetMode="External"/><Relationship Id="rId188" Type="http://schemas.openxmlformats.org/officeDocument/2006/relationships/hyperlink" Target="https://doi.org/10.1037/a0017221" TargetMode="External"/><Relationship Id="rId183" Type="http://schemas.openxmlformats.org/officeDocument/2006/relationships/hyperlink" Target="https://doi.org/10.1037/0021-9010.91.1579" TargetMode="External"/><Relationship Id="rId182" Type="http://schemas.openxmlformats.org/officeDocument/2006/relationships/hyperlink" Target="https://doi.org/10.1037/a0032809" TargetMode="External"/><Relationship Id="rId181" Type="http://schemas.openxmlformats.org/officeDocument/2006/relationships/hyperlink" Target="https://doi.org/10.1037/a0012696" TargetMode="External"/><Relationship Id="rId180" Type="http://schemas.openxmlformats.org/officeDocument/2006/relationships/hyperlink" Target="https://doi.org/10.1037/0021-9010.88.3.518" TargetMode="External"/><Relationship Id="rId176" Type="http://schemas.openxmlformats.org/officeDocument/2006/relationships/hyperlink" Target="https://doi.org/10.1037//0021-9010.86.5.897" TargetMode="External"/><Relationship Id="rId297" Type="http://schemas.openxmlformats.org/officeDocument/2006/relationships/hyperlink" Target="https://doi.org/10.1037/0021-9010.90.3.431" TargetMode="External"/><Relationship Id="rId175" Type="http://schemas.openxmlformats.org/officeDocument/2006/relationships/hyperlink" Target="https://doi.org/10.1037/a0013504" TargetMode="External"/><Relationship Id="rId296" Type="http://schemas.openxmlformats.org/officeDocument/2006/relationships/hyperlink" Target="https://doi.org/10.1037//0021-9010.87.1.143" TargetMode="External"/><Relationship Id="rId174" Type="http://schemas.openxmlformats.org/officeDocument/2006/relationships/hyperlink" Target="https://doi.org/10.1037/0021-9010.89.6.1023" TargetMode="External"/><Relationship Id="rId295" Type="http://schemas.openxmlformats.org/officeDocument/2006/relationships/hyperlink" Target="https://doi.org/10.1037/a0016285" TargetMode="External"/><Relationship Id="rId173" Type="http://schemas.openxmlformats.org/officeDocument/2006/relationships/hyperlink" Target="https://doi.org/10.1037/0021-9010.89.5.854" TargetMode="External"/><Relationship Id="rId294" Type="http://schemas.openxmlformats.org/officeDocument/2006/relationships/hyperlink" Target="https://doi.org/10.1037//0021-9010.85.4.551" TargetMode="External"/><Relationship Id="rId179" Type="http://schemas.openxmlformats.org/officeDocument/2006/relationships/hyperlink" Target="https://doi.org/10.1037/apl0000241" TargetMode="External"/><Relationship Id="rId178" Type="http://schemas.openxmlformats.org/officeDocument/2006/relationships/hyperlink" Target="https://doi.org/10.1037/a0021987" TargetMode="External"/><Relationship Id="rId299" Type="http://schemas.openxmlformats.org/officeDocument/2006/relationships/hyperlink" Target="https://doi.org/10.1037/a0015899" TargetMode="External"/><Relationship Id="rId177" Type="http://schemas.openxmlformats.org/officeDocument/2006/relationships/hyperlink" Target="https://doi.org/10.1037//0021-9010.87.5.903" TargetMode="External"/><Relationship Id="rId298" Type="http://schemas.openxmlformats.org/officeDocument/2006/relationships/hyperlink" Target="https://doi.org/10.1037/0021-9010.91.6.1245" TargetMode="External"/><Relationship Id="rId198" Type="http://schemas.openxmlformats.org/officeDocument/2006/relationships/hyperlink" Target="https://doi.org/10.1037/0021-9010.89.6.1083" TargetMode="External"/><Relationship Id="rId197" Type="http://schemas.openxmlformats.org/officeDocument/2006/relationships/hyperlink" Target="https://doi.org/10.1037//0021-9010.85.3.399" TargetMode="External"/><Relationship Id="rId196" Type="http://schemas.openxmlformats.org/officeDocument/2006/relationships/hyperlink" Target="https://doi.org/10.1037/a0013391" TargetMode="External"/><Relationship Id="rId195" Type="http://schemas.openxmlformats.org/officeDocument/2006/relationships/hyperlink" Target="https://doi.org/10.1037/0021-9010.92.4.1006" TargetMode="External"/><Relationship Id="rId199" Type="http://schemas.openxmlformats.org/officeDocument/2006/relationships/hyperlink" Target="https://doi.org/10.1037/a0021982" TargetMode="External"/><Relationship Id="rId150" Type="http://schemas.openxmlformats.org/officeDocument/2006/relationships/hyperlink" Target="https://doi.org/10.1037/apl0000313" TargetMode="External"/><Relationship Id="rId271" Type="http://schemas.openxmlformats.org/officeDocument/2006/relationships/hyperlink" Target="https://doi.org/10.1037//0021-9010.86.1.104" TargetMode="External"/><Relationship Id="rId392" Type="http://schemas.openxmlformats.org/officeDocument/2006/relationships/hyperlink" Target="https://doi.org/10.1037//0021-9010.86.2.293" TargetMode="External"/><Relationship Id="rId270" Type="http://schemas.openxmlformats.org/officeDocument/2006/relationships/hyperlink" Target="https://doi.org/10.1037//0021-9010.86.4.641" TargetMode="External"/><Relationship Id="rId391" Type="http://schemas.openxmlformats.org/officeDocument/2006/relationships/hyperlink" Target="https://doi.org/10.1037/0021-9010.89.1.150" TargetMode="External"/><Relationship Id="rId390" Type="http://schemas.openxmlformats.org/officeDocument/2006/relationships/hyperlink" Target="https://doi.org/10.1037/apl0000347" TargetMode="External"/><Relationship Id="rId1" Type="http://schemas.openxmlformats.org/officeDocument/2006/relationships/hyperlink" Target="https://doi.org/10.1037/0021-9010.92.5.1427" TargetMode="External"/><Relationship Id="rId2" Type="http://schemas.openxmlformats.org/officeDocument/2006/relationships/hyperlink" Target="https://doi.org/10.1037/a0024890" TargetMode="External"/><Relationship Id="rId3" Type="http://schemas.openxmlformats.org/officeDocument/2006/relationships/hyperlink" Target="https://doi.org/10.1037/a0015979" TargetMode="External"/><Relationship Id="rId149" Type="http://schemas.openxmlformats.org/officeDocument/2006/relationships/hyperlink" Target="https://doi.org/10.1037/a0023221" TargetMode="External"/><Relationship Id="rId4" Type="http://schemas.openxmlformats.org/officeDocument/2006/relationships/hyperlink" Target="https://doi.org/10.1037/apl0000027" TargetMode="External"/><Relationship Id="rId148" Type="http://schemas.openxmlformats.org/officeDocument/2006/relationships/hyperlink" Target="https://doi.org/10.1037/ap10000305" TargetMode="External"/><Relationship Id="rId269" Type="http://schemas.openxmlformats.org/officeDocument/2006/relationships/hyperlink" Target="https://doi.org/10.1037/a0014561" TargetMode="External"/><Relationship Id="rId9" Type="http://schemas.openxmlformats.org/officeDocument/2006/relationships/hyperlink" Target="https://doi.org/10.1037/0021-9010.90.3.574" TargetMode="External"/><Relationship Id="rId143" Type="http://schemas.openxmlformats.org/officeDocument/2006/relationships/hyperlink" Target="https://doi.org/10.1037/0021-9010.87.2.304" TargetMode="External"/><Relationship Id="rId264" Type="http://schemas.openxmlformats.org/officeDocument/2006/relationships/hyperlink" Target="https://doi.org/10.1037/a0026953" TargetMode="External"/><Relationship Id="rId385" Type="http://schemas.openxmlformats.org/officeDocument/2006/relationships/hyperlink" Target="https://doi.org/10.1037/apl0000177" TargetMode="External"/><Relationship Id="rId142" Type="http://schemas.openxmlformats.org/officeDocument/2006/relationships/hyperlink" Target="https://doi.org/10.1037//0021-9010.85.4.597" TargetMode="External"/><Relationship Id="rId263" Type="http://schemas.openxmlformats.org/officeDocument/2006/relationships/hyperlink" Target="https://doi.org/10.1037/a0029450" TargetMode="External"/><Relationship Id="rId384" Type="http://schemas.openxmlformats.org/officeDocument/2006/relationships/hyperlink" Target="https://doi.org/10.1037/a0025408" TargetMode="External"/><Relationship Id="rId141" Type="http://schemas.openxmlformats.org/officeDocument/2006/relationships/hyperlink" Target="https://doi.org/10.1037/apl0000092" TargetMode="External"/><Relationship Id="rId262" Type="http://schemas.openxmlformats.org/officeDocument/2006/relationships/hyperlink" Target="https://doi.org/10.1037/0021-9010.90.2.232" TargetMode="External"/><Relationship Id="rId383" Type="http://schemas.openxmlformats.org/officeDocument/2006/relationships/hyperlink" Target="https://doi.org/10.1037/0021-9010.91.4.762" TargetMode="External"/><Relationship Id="rId140" Type="http://schemas.openxmlformats.org/officeDocument/2006/relationships/hyperlink" Target="https://doi.org/10.1037/a0017975" TargetMode="External"/><Relationship Id="rId261" Type="http://schemas.openxmlformats.org/officeDocument/2006/relationships/hyperlink" Target="https://doi.org/10.1037/0021-9010.90.6.1265" TargetMode="External"/><Relationship Id="rId382" Type="http://schemas.openxmlformats.org/officeDocument/2006/relationships/hyperlink" Target="https://doi.org/10.1037/a0025847" TargetMode="External"/><Relationship Id="rId5" Type="http://schemas.openxmlformats.org/officeDocument/2006/relationships/hyperlink" Target="https://doi.org/10.1037/0021-9010.88.3.561" TargetMode="External"/><Relationship Id="rId147" Type="http://schemas.openxmlformats.org/officeDocument/2006/relationships/hyperlink" Target="https://doi.org/10.1037/0021-9010.89.6.1106" TargetMode="External"/><Relationship Id="rId268" Type="http://schemas.openxmlformats.org/officeDocument/2006/relationships/hyperlink" Target="https://doi.org/10.1037/0021-9010.92.2.438" TargetMode="External"/><Relationship Id="rId389" Type="http://schemas.openxmlformats.org/officeDocument/2006/relationships/hyperlink" Target="https://doi.org/10.1037/a0032599" TargetMode="External"/><Relationship Id="rId6" Type="http://schemas.openxmlformats.org/officeDocument/2006/relationships/hyperlink" Target="https://doi.org/10.1037/apl0000078" TargetMode="External"/><Relationship Id="rId146" Type="http://schemas.openxmlformats.org/officeDocument/2006/relationships/hyperlink" Target="https://doi.org/10.1037/0021-9010.85.5.708" TargetMode="External"/><Relationship Id="rId267" Type="http://schemas.openxmlformats.org/officeDocument/2006/relationships/hyperlink" Target="https://doi.org/10.1037/apl0000108" TargetMode="External"/><Relationship Id="rId388" Type="http://schemas.openxmlformats.org/officeDocument/2006/relationships/hyperlink" Target="https://doi.org/10.1037/0021-9010.92.4.1159" TargetMode="External"/><Relationship Id="rId7" Type="http://schemas.openxmlformats.org/officeDocument/2006/relationships/hyperlink" Target="https://doi.org/10.1037/a0021574" TargetMode="External"/><Relationship Id="rId145" Type="http://schemas.openxmlformats.org/officeDocument/2006/relationships/hyperlink" Target="https://doi.org/10.1037/0021-9010.92.1.259" TargetMode="External"/><Relationship Id="rId266" Type="http://schemas.openxmlformats.org/officeDocument/2006/relationships/hyperlink" Target="https://doi.org/10.1037/a0016172" TargetMode="External"/><Relationship Id="rId387" Type="http://schemas.openxmlformats.org/officeDocument/2006/relationships/hyperlink" Target="https://doi.org/10.1037/0021-9010.86.6.1244" TargetMode="External"/><Relationship Id="rId8" Type="http://schemas.openxmlformats.org/officeDocument/2006/relationships/hyperlink" Target="https://doi.org/10.1037/0021-9010.86.6.1106" TargetMode="External"/><Relationship Id="rId144" Type="http://schemas.openxmlformats.org/officeDocument/2006/relationships/hyperlink" Target="https://doi.org/10.1037/a0014075" TargetMode="External"/><Relationship Id="rId265" Type="http://schemas.openxmlformats.org/officeDocument/2006/relationships/hyperlink" Target="https://doi.org/10.1037/apl0000257" TargetMode="External"/><Relationship Id="rId386" Type="http://schemas.openxmlformats.org/officeDocument/2006/relationships/hyperlink" Target="https://doi.org/10.1037/a0031129" TargetMode="External"/><Relationship Id="rId260" Type="http://schemas.openxmlformats.org/officeDocument/2006/relationships/hyperlink" Target="https://doi.org/10.1037/a0037877" TargetMode="External"/><Relationship Id="rId381" Type="http://schemas.openxmlformats.org/officeDocument/2006/relationships/hyperlink" Target="https://doi.org/10.1037/0021-9010.93.1.199" TargetMode="External"/><Relationship Id="rId380" Type="http://schemas.openxmlformats.org/officeDocument/2006/relationships/hyperlink" Target="https://doi.org/10.1037/a0022133" TargetMode="External"/><Relationship Id="rId139" Type="http://schemas.openxmlformats.org/officeDocument/2006/relationships/hyperlink" Target="https://doi.org/10.1037/apl0000096" TargetMode="External"/><Relationship Id="rId138" Type="http://schemas.openxmlformats.org/officeDocument/2006/relationships/hyperlink" Target="https://doi.org/10.1037/0021-9010.88.5.795" TargetMode="External"/><Relationship Id="rId259" Type="http://schemas.openxmlformats.org/officeDocument/2006/relationships/hyperlink" Target="https://doi.org/10.1037/a0034156" TargetMode="External"/><Relationship Id="rId137" Type="http://schemas.openxmlformats.org/officeDocument/2006/relationships/hyperlink" Target="https://doi.org/10.1037/apl0000055" TargetMode="External"/><Relationship Id="rId258" Type="http://schemas.openxmlformats.org/officeDocument/2006/relationships/hyperlink" Target="https://doi.org/10.1037/apl0000211" TargetMode="External"/><Relationship Id="rId379" Type="http://schemas.openxmlformats.org/officeDocument/2006/relationships/hyperlink" Target="https://doi.org/10.1037/apl0000343" TargetMode="External"/><Relationship Id="rId132" Type="http://schemas.openxmlformats.org/officeDocument/2006/relationships/hyperlink" Target="https://doi.org/10.1037//0021-9010.85.1.30" TargetMode="External"/><Relationship Id="rId253" Type="http://schemas.openxmlformats.org/officeDocument/2006/relationships/hyperlink" Target="https://doi.org/10.1037/a0014990" TargetMode="External"/><Relationship Id="rId374" Type="http://schemas.openxmlformats.org/officeDocument/2006/relationships/hyperlink" Target="https://doi.org/10.1037/a0017630" TargetMode="External"/><Relationship Id="rId131" Type="http://schemas.openxmlformats.org/officeDocument/2006/relationships/hyperlink" Target="https://doi.org/10.1037/0021-9010.90.1.182" TargetMode="External"/><Relationship Id="rId252" Type="http://schemas.openxmlformats.org/officeDocument/2006/relationships/hyperlink" Target="https://doi.org/10.1037//0021-9010.87.4.735" TargetMode="External"/><Relationship Id="rId373" Type="http://schemas.openxmlformats.org/officeDocument/2006/relationships/hyperlink" Target="https://doi.org/10.1037//0021-9010.86.3.459" TargetMode="External"/><Relationship Id="rId130" Type="http://schemas.openxmlformats.org/officeDocument/2006/relationships/hyperlink" Target="https://doi.org/10.1037//0021-9010.85.5.643" TargetMode="External"/><Relationship Id="rId251" Type="http://schemas.openxmlformats.org/officeDocument/2006/relationships/hyperlink" Target="https://doi.org/10.1037/0021-9010.91.4.963" TargetMode="External"/><Relationship Id="rId372" Type="http://schemas.openxmlformats.org/officeDocument/2006/relationships/hyperlink" Target="https://doi.org/10.1037//0021-9010.87.6.1200" TargetMode="External"/><Relationship Id="rId250" Type="http://schemas.openxmlformats.org/officeDocument/2006/relationships/hyperlink" Target="https://doi.org/10.1037//0021-9010.87.6.1149" TargetMode="External"/><Relationship Id="rId371" Type="http://schemas.openxmlformats.org/officeDocument/2006/relationships/hyperlink" Target="https://doi.org/10.1037/apl0000294" TargetMode="External"/><Relationship Id="rId136" Type="http://schemas.openxmlformats.org/officeDocument/2006/relationships/hyperlink" Target="https://doi.org/10.1037/0021-9010.86.4.789" TargetMode="External"/><Relationship Id="rId257" Type="http://schemas.openxmlformats.org/officeDocument/2006/relationships/hyperlink" Target="https://doi.org/10.1037/a0034096" TargetMode="External"/><Relationship Id="rId378" Type="http://schemas.openxmlformats.org/officeDocument/2006/relationships/hyperlink" Target="https://doi.org/10.1037/a0036463" TargetMode="External"/><Relationship Id="rId135" Type="http://schemas.openxmlformats.org/officeDocument/2006/relationships/hyperlink" Target="https://doi.org/10.1037/0021-9010.85.6.956" TargetMode="External"/><Relationship Id="rId256" Type="http://schemas.openxmlformats.org/officeDocument/2006/relationships/hyperlink" Target="https://doi.org/10.1037/apl0000331" TargetMode="External"/><Relationship Id="rId377" Type="http://schemas.openxmlformats.org/officeDocument/2006/relationships/hyperlink" Target="https://doi.org/10.1037//0021-9010.85.2.180" TargetMode="External"/><Relationship Id="rId134" Type="http://schemas.openxmlformats.org/officeDocument/2006/relationships/hyperlink" Target="https://doi.org/10.1037/0021-9010.93.2.328" TargetMode="External"/><Relationship Id="rId255" Type="http://schemas.openxmlformats.org/officeDocument/2006/relationships/hyperlink" Target="https://doi.org/10.1037/a0038543" TargetMode="External"/><Relationship Id="rId376" Type="http://schemas.openxmlformats.org/officeDocument/2006/relationships/hyperlink" Target="https://doi.org/10.1037/0021-9010.88.1.160" TargetMode="External"/><Relationship Id="rId133" Type="http://schemas.openxmlformats.org/officeDocument/2006/relationships/hyperlink" Target="https://doi.org/10.1037/0021-9010.90.1.175" TargetMode="External"/><Relationship Id="rId254" Type="http://schemas.openxmlformats.org/officeDocument/2006/relationships/hyperlink" Target="https://doi.org/10.1037/0021-9010.88.2.219" TargetMode="External"/><Relationship Id="rId375" Type="http://schemas.openxmlformats.org/officeDocument/2006/relationships/hyperlink" Target="https://doi.org/10.1037/apl0000009" TargetMode="External"/><Relationship Id="rId172" Type="http://schemas.openxmlformats.org/officeDocument/2006/relationships/hyperlink" Target="https://doi.org/10.1037/apl0000161" TargetMode="External"/><Relationship Id="rId293" Type="http://schemas.openxmlformats.org/officeDocument/2006/relationships/hyperlink" Target="https://doi.org/10.1037/0021-9010-92.1.44" TargetMode="External"/><Relationship Id="rId171" Type="http://schemas.openxmlformats.org/officeDocument/2006/relationships/hyperlink" Target="https://doi.org/10.1037/0021-9010.87.5.819" TargetMode="External"/><Relationship Id="rId292" Type="http://schemas.openxmlformats.org/officeDocument/2006/relationships/hyperlink" Target="https://doi.org/10.1037/0021-9010.85.3.417" TargetMode="External"/><Relationship Id="rId170" Type="http://schemas.openxmlformats.org/officeDocument/2006/relationships/hyperlink" Target="https://doi.org/10.1037/0021-9010.86.3.525" TargetMode="External"/><Relationship Id="rId291" Type="http://schemas.openxmlformats.org/officeDocument/2006/relationships/hyperlink" Target="https://doi.org/10.1037/a0030887" TargetMode="External"/><Relationship Id="rId290" Type="http://schemas.openxmlformats.org/officeDocument/2006/relationships/hyperlink" Target="https://doi.org/10.1037/0021-9010.92.4.1084" TargetMode="External"/><Relationship Id="rId165" Type="http://schemas.openxmlformats.org/officeDocument/2006/relationships/hyperlink" Target="https://doi.org/10.1037/0021-9010.91.2.365" TargetMode="External"/><Relationship Id="rId286" Type="http://schemas.openxmlformats.org/officeDocument/2006/relationships/hyperlink" Target="https://doi.org/10.1037/a0036192" TargetMode="External"/><Relationship Id="rId164" Type="http://schemas.openxmlformats.org/officeDocument/2006/relationships/hyperlink" Target="https://doi.org/10.1037/0021-9010.89.4.599" TargetMode="External"/><Relationship Id="rId285" Type="http://schemas.openxmlformats.org/officeDocument/2006/relationships/hyperlink" Target="https://doi.org/10.1037//0021-9010.86.1.29" TargetMode="External"/><Relationship Id="rId163" Type="http://schemas.openxmlformats.org/officeDocument/2006/relationships/hyperlink" Target="https://doi.org/10.1037/0021-9010.90.6.1043" TargetMode="External"/><Relationship Id="rId284" Type="http://schemas.openxmlformats.org/officeDocument/2006/relationships/hyperlink" Target="https://doi.org/10.1037/a0018018" TargetMode="External"/><Relationship Id="rId162" Type="http://schemas.openxmlformats.org/officeDocument/2006/relationships/hyperlink" Target="https://doi.org/10.1037/apl0000225" TargetMode="External"/><Relationship Id="rId283" Type="http://schemas.openxmlformats.org/officeDocument/2006/relationships/hyperlink" Target="https://doi.org/10.1037/a0021882" TargetMode="External"/><Relationship Id="rId169" Type="http://schemas.openxmlformats.org/officeDocument/2006/relationships/hyperlink" Target="https://doi.org/10.1037/0021-9010.88.2.246" TargetMode="External"/><Relationship Id="rId168" Type="http://schemas.openxmlformats.org/officeDocument/2006/relationships/hyperlink" Target="https://doi.org/10.1037/a0018628" TargetMode="External"/><Relationship Id="rId289" Type="http://schemas.openxmlformats.org/officeDocument/2006/relationships/hyperlink" Target="https://doi.org/10.1037/0021-9010.93.2.235" TargetMode="External"/><Relationship Id="rId167" Type="http://schemas.openxmlformats.org/officeDocument/2006/relationships/hyperlink" Target="https://doi.org/10.1037/a0037547" TargetMode="External"/><Relationship Id="rId288" Type="http://schemas.openxmlformats.org/officeDocument/2006/relationships/hyperlink" Target="https://doi.org/10.1037/apl0000140" TargetMode="External"/><Relationship Id="rId166" Type="http://schemas.openxmlformats.org/officeDocument/2006/relationships/hyperlink" Target="https://doi.org/10.1037/a0012572" TargetMode="External"/><Relationship Id="rId287" Type="http://schemas.openxmlformats.org/officeDocument/2006/relationships/hyperlink" Target="https://doi.org/10.1037/a0016115" TargetMode="External"/><Relationship Id="rId161" Type="http://schemas.openxmlformats.org/officeDocument/2006/relationships/hyperlink" Target="https://doi.org/10.1037/0021-9010.93.5.1155" TargetMode="External"/><Relationship Id="rId282" Type="http://schemas.openxmlformats.org/officeDocument/2006/relationships/hyperlink" Target="https://doi.org/10.1037/a0029452" TargetMode="External"/><Relationship Id="rId160" Type="http://schemas.openxmlformats.org/officeDocument/2006/relationships/hyperlink" Target="https://doi.org/10.1037//0021-9010.87.6.1086" TargetMode="External"/><Relationship Id="rId281" Type="http://schemas.openxmlformats.org/officeDocument/2006/relationships/hyperlink" Target="https://doi.org/10.1037/a0030076" TargetMode="External"/><Relationship Id="rId280" Type="http://schemas.openxmlformats.org/officeDocument/2006/relationships/hyperlink" Target="https://doi.org/10.1037/a0016847" TargetMode="External"/><Relationship Id="rId159" Type="http://schemas.openxmlformats.org/officeDocument/2006/relationships/hyperlink" Target="https://doi.org/10.1037/a0029978" TargetMode="External"/><Relationship Id="rId154" Type="http://schemas.openxmlformats.org/officeDocument/2006/relationships/hyperlink" Target="https://doi.org/10.1037/0021-9010.92.4.928" TargetMode="External"/><Relationship Id="rId275" Type="http://schemas.openxmlformats.org/officeDocument/2006/relationships/hyperlink" Target="https://doi.org/10.1037/0021-9010.92.5.1242" TargetMode="External"/><Relationship Id="rId396" Type="http://schemas.openxmlformats.org/officeDocument/2006/relationships/hyperlink" Target="https://doi.org/10.1037/0021-9010.93.2.463" TargetMode="External"/><Relationship Id="rId153" Type="http://schemas.openxmlformats.org/officeDocument/2006/relationships/hyperlink" Target="https://doi.org/10.1037/a0036635" TargetMode="External"/><Relationship Id="rId274" Type="http://schemas.openxmlformats.org/officeDocument/2006/relationships/hyperlink" Target="https://doi.org/10.1037/apl0000267" TargetMode="External"/><Relationship Id="rId395" Type="http://schemas.openxmlformats.org/officeDocument/2006/relationships/hyperlink" Target="https://doi.org/10.1037/a0030687" TargetMode="External"/><Relationship Id="rId152" Type="http://schemas.openxmlformats.org/officeDocument/2006/relationships/hyperlink" Target="https://doi.org/10.1037//0021-9010.87.4.667" TargetMode="External"/><Relationship Id="rId273" Type="http://schemas.openxmlformats.org/officeDocument/2006/relationships/hyperlink" Target="https://doi.org/10.1037/apl0000162" TargetMode="External"/><Relationship Id="rId394" Type="http://schemas.openxmlformats.org/officeDocument/2006/relationships/hyperlink" Target="https://doi.org/10.1037/a0034413" TargetMode="External"/><Relationship Id="rId151" Type="http://schemas.openxmlformats.org/officeDocument/2006/relationships/hyperlink" Target="https://doi.org/10.1037/a0038298" TargetMode="External"/><Relationship Id="rId272" Type="http://schemas.openxmlformats.org/officeDocument/2006/relationships/hyperlink" Target="https://doi.org/10.1037/ap10000040" TargetMode="External"/><Relationship Id="rId393" Type="http://schemas.openxmlformats.org/officeDocument/2006/relationships/hyperlink" Target="https://doi.org/10.1037//0021-9010.86.6.1306" TargetMode="External"/><Relationship Id="rId158" Type="http://schemas.openxmlformats.org/officeDocument/2006/relationships/hyperlink" Target="https://doi.org/10.1037/0021-9010.89.4.722" TargetMode="External"/><Relationship Id="rId279" Type="http://schemas.openxmlformats.org/officeDocument/2006/relationships/hyperlink" Target="https://doi.org/10.1037/0021-9010.92.4.993" TargetMode="External"/><Relationship Id="rId157" Type="http://schemas.openxmlformats.org/officeDocument/2006/relationships/hyperlink" Target="https://doi.org/10.1037/0021-9010.91.1.185" TargetMode="External"/><Relationship Id="rId278" Type="http://schemas.openxmlformats.org/officeDocument/2006/relationships/hyperlink" Target="https://doi.org/10.1037/0021-9010.89.2.231" TargetMode="External"/><Relationship Id="rId399" Type="http://schemas.openxmlformats.org/officeDocument/2006/relationships/hyperlink" Target="https://doi.org/10.1037/0021-9010.90.3.483" TargetMode="External"/><Relationship Id="rId156" Type="http://schemas.openxmlformats.org/officeDocument/2006/relationships/hyperlink" Target="https://doi.org/10.1037/0021-9010.92.1.1" TargetMode="External"/><Relationship Id="rId277" Type="http://schemas.openxmlformats.org/officeDocument/2006/relationships/hyperlink" Target="https://doi.org/10.1037//0021-9010.87.2.255" TargetMode="External"/><Relationship Id="rId398" Type="http://schemas.openxmlformats.org/officeDocument/2006/relationships/hyperlink" Target="https://doi.org/10.1037/a0026739" TargetMode="External"/><Relationship Id="rId155" Type="http://schemas.openxmlformats.org/officeDocument/2006/relationships/hyperlink" Target="https://doi.org/10.1037/a0021594" TargetMode="External"/><Relationship Id="rId276" Type="http://schemas.openxmlformats.org/officeDocument/2006/relationships/hyperlink" Target="https://doi.org/10.1037//0021-9010.85.3.373" TargetMode="External"/><Relationship Id="rId397" Type="http://schemas.openxmlformats.org/officeDocument/2006/relationships/hyperlink" Target="https://doi.org/10.1037/0021-9010.91.1.202" TargetMode="External"/><Relationship Id="rId40" Type="http://schemas.openxmlformats.org/officeDocument/2006/relationships/hyperlink" Target="https://doi.org/10.1037/apl0000071" TargetMode="External"/><Relationship Id="rId42" Type="http://schemas.openxmlformats.org/officeDocument/2006/relationships/hyperlink" Target="https://doi.org/10.1037/a0018137" TargetMode="External"/><Relationship Id="rId41" Type="http://schemas.openxmlformats.org/officeDocument/2006/relationships/hyperlink" Target="https://doi.org/10.1037/a0021452" TargetMode="External"/><Relationship Id="rId44" Type="http://schemas.openxmlformats.org/officeDocument/2006/relationships/hyperlink" Target="https://doi.org/10.1037/0021-9010.88.1.131" TargetMode="External"/><Relationship Id="rId43" Type="http://schemas.openxmlformats.org/officeDocument/2006/relationships/hyperlink" Target="https://doi.org/10.1037/a0018019" TargetMode="External"/><Relationship Id="rId46" Type="http://schemas.openxmlformats.org/officeDocument/2006/relationships/hyperlink" Target="https://doi.org/10.1037/ap10000052" TargetMode="External"/><Relationship Id="rId45" Type="http://schemas.openxmlformats.org/officeDocument/2006/relationships/hyperlink" Target="https://doi.org/10.1037//0021-9010.86.4.629" TargetMode="External"/><Relationship Id="rId48" Type="http://schemas.openxmlformats.org/officeDocument/2006/relationships/hyperlink" Target="https://doi.org/10.1037/a0027851" TargetMode="External"/><Relationship Id="rId47" Type="http://schemas.openxmlformats.org/officeDocument/2006/relationships/hyperlink" Target="https://doi.org/10.1037/0021-9010.91.4.856" TargetMode="External"/><Relationship Id="rId49" Type="http://schemas.openxmlformats.org/officeDocument/2006/relationships/hyperlink" Target="https://doi.org/10.1037/a0039046" TargetMode="External"/><Relationship Id="rId31" Type="http://schemas.openxmlformats.org/officeDocument/2006/relationships/hyperlink" Target="https://doi.org/10.1037//0021-9010.86.1.93" TargetMode="External"/><Relationship Id="rId30" Type="http://schemas.openxmlformats.org/officeDocument/2006/relationships/hyperlink" Target="https://doi.org/10.1037/a0037233" TargetMode="External"/><Relationship Id="rId33" Type="http://schemas.openxmlformats.org/officeDocument/2006/relationships/hyperlink" Target="https://doi.org/10.1037/0021-9010.89.5.809" TargetMode="External"/><Relationship Id="rId32" Type="http://schemas.openxmlformats.org/officeDocument/2006/relationships/hyperlink" Target="https://doi.org/10.1037/0021-9010.89.6.1099" TargetMode="External"/><Relationship Id="rId35" Type="http://schemas.openxmlformats.org/officeDocument/2006/relationships/hyperlink" Target="https://doi.org/10.1037//0021-9010.87.5.916" TargetMode="External"/><Relationship Id="rId34" Type="http://schemas.openxmlformats.org/officeDocument/2006/relationships/hyperlink" Target="https://doi.org/10.1037/apl0000269" TargetMode="External"/><Relationship Id="rId37" Type="http://schemas.openxmlformats.org/officeDocument/2006/relationships/hyperlink" Target="https://doi.org/10.1037/0021-9010-89.4.587" TargetMode="External"/><Relationship Id="rId36" Type="http://schemas.openxmlformats.org/officeDocument/2006/relationships/hyperlink" Target="https://doi.org/10.1037/0021-9010.90.6.1241" TargetMode="External"/><Relationship Id="rId39" Type="http://schemas.openxmlformats.org/officeDocument/2006/relationships/hyperlink" Target="https://doi.org/10.1037/0021-9010.88.6.989" TargetMode="External"/><Relationship Id="rId38" Type="http://schemas.openxmlformats.org/officeDocument/2006/relationships/hyperlink" Target="https://doi.org/10.1037/0021-9010.89.4.700" TargetMode="External"/><Relationship Id="rId20" Type="http://schemas.openxmlformats.org/officeDocument/2006/relationships/hyperlink" Target="https://doi.org/10.1037/0021-9010.89.5.755" TargetMode="External"/><Relationship Id="rId22" Type="http://schemas.openxmlformats.org/officeDocument/2006/relationships/hyperlink" Target="https://doi.org/10.1037//0021-9010.87.4.797" TargetMode="External"/><Relationship Id="rId21" Type="http://schemas.openxmlformats.org/officeDocument/2006/relationships/hyperlink" Target="https://doi.org/10.1037/a0038036" TargetMode="External"/><Relationship Id="rId24" Type="http://schemas.openxmlformats.org/officeDocument/2006/relationships/hyperlink" Target="https://doi.org/10.1037/0021-9010.88.5.944" TargetMode="External"/><Relationship Id="rId23" Type="http://schemas.openxmlformats.org/officeDocument/2006/relationships/hyperlink" Target="https://doi.org/10.1037/0021-9010.92.3.693" TargetMode="External"/><Relationship Id="rId401" Type="http://schemas.openxmlformats.org/officeDocument/2006/relationships/drawing" Target="../drawings/drawing1.xml"/><Relationship Id="rId26" Type="http://schemas.openxmlformats.org/officeDocument/2006/relationships/hyperlink" Target="https://doi.org/10.1037/0021-9010.88.6.1057" TargetMode="External"/><Relationship Id="rId25" Type="http://schemas.openxmlformats.org/officeDocument/2006/relationships/hyperlink" Target="https://doi.org/10.1037/apl0000251" TargetMode="External"/><Relationship Id="rId28" Type="http://schemas.openxmlformats.org/officeDocument/2006/relationships/hyperlink" Target="https://doi.org/10.1037/0021-9010.88.2.363" TargetMode="External"/><Relationship Id="rId27" Type="http://schemas.openxmlformats.org/officeDocument/2006/relationships/hyperlink" Target="https://doi.org/10.1037//0021-9010.85.4.504" TargetMode="External"/><Relationship Id="rId400" Type="http://schemas.openxmlformats.org/officeDocument/2006/relationships/hyperlink" Target="https://doi.org/10.1037/a0030264" TargetMode="External"/><Relationship Id="rId29" Type="http://schemas.openxmlformats.org/officeDocument/2006/relationships/hyperlink" Target="https://doi.org/10.1037/a0023322" TargetMode="External"/><Relationship Id="rId11" Type="http://schemas.openxmlformats.org/officeDocument/2006/relationships/hyperlink" Target="https://doi.org/10.1037/0021-9010.91.4.971" TargetMode="External"/><Relationship Id="rId10" Type="http://schemas.openxmlformats.org/officeDocument/2006/relationships/hyperlink" Target="https://doi.org/10.1037/a0014391" TargetMode="External"/><Relationship Id="rId13" Type="http://schemas.openxmlformats.org/officeDocument/2006/relationships/hyperlink" Target="https://doi.org/10.1037/a0026055" TargetMode="External"/><Relationship Id="rId12" Type="http://schemas.openxmlformats.org/officeDocument/2006/relationships/hyperlink" Target="https://doi.org/10.1037/a0035183" TargetMode="External"/><Relationship Id="rId15" Type="http://schemas.openxmlformats.org/officeDocument/2006/relationships/hyperlink" Target="https://doi.org/10.1037/0021-9010.90.6.1044" TargetMode="External"/><Relationship Id="rId14" Type="http://schemas.openxmlformats.org/officeDocument/2006/relationships/hyperlink" Target="https://doi.org/10.1037/0021-9010.93.3.513" TargetMode="External"/><Relationship Id="rId17" Type="http://schemas.openxmlformats.org/officeDocument/2006/relationships/hyperlink" Target="https://doi.org/10.1037/0021-9010.91.4.946" TargetMode="External"/><Relationship Id="rId16" Type="http://schemas.openxmlformats.org/officeDocument/2006/relationships/hyperlink" Target="https://doi.org/10.1037/a0015848" TargetMode="External"/><Relationship Id="rId19" Type="http://schemas.openxmlformats.org/officeDocument/2006/relationships/hyperlink" Target="https://doi.org/10.1037/0021-9010.90.2.284" TargetMode="External"/><Relationship Id="rId18" Type="http://schemas.openxmlformats.org/officeDocument/2006/relationships/hyperlink" Target="https://doi.org/10.1037/0021-9010.91.2.475" TargetMode="External"/><Relationship Id="rId84" Type="http://schemas.openxmlformats.org/officeDocument/2006/relationships/hyperlink" Target="https://doi.org/10.1037/0021-9010.92.4.1103" TargetMode="External"/><Relationship Id="rId83" Type="http://schemas.openxmlformats.org/officeDocument/2006/relationships/hyperlink" Target="https://doi.org/10.1037/0021-9010.93.3.711" TargetMode="External"/><Relationship Id="rId86" Type="http://schemas.openxmlformats.org/officeDocument/2006/relationships/hyperlink" Target="https://doi.org/10.1037//0021-9010.85.1.13" TargetMode="External"/><Relationship Id="rId85" Type="http://schemas.openxmlformats.org/officeDocument/2006/relationships/hyperlink" Target="https://doi.org/10.1037/0021-9010.91.4.927" TargetMode="External"/><Relationship Id="rId88" Type="http://schemas.openxmlformats.org/officeDocument/2006/relationships/hyperlink" Target="https://doi.org/10.1037/apl0000126" TargetMode="External"/><Relationship Id="rId87" Type="http://schemas.openxmlformats.org/officeDocument/2006/relationships/hyperlink" Target="https://doi.org/10.1037/0021-9010.90.6.1288" TargetMode="External"/><Relationship Id="rId89" Type="http://schemas.openxmlformats.org/officeDocument/2006/relationships/hyperlink" Target="https://doi.org/10.1037//0021-9010.86.2.215" TargetMode="External"/><Relationship Id="rId80" Type="http://schemas.openxmlformats.org/officeDocument/2006/relationships/hyperlink" Target="https://doi.org/10.1037/0021-9010.91.2.482" TargetMode="External"/><Relationship Id="rId82" Type="http://schemas.openxmlformats.org/officeDocument/2006/relationships/hyperlink" Target="https://doi.org/10.1037/0021-9010.93.4.935" TargetMode="External"/><Relationship Id="rId81" Type="http://schemas.openxmlformats.org/officeDocument/2006/relationships/hyperlink" Target="https://doi.org/10.1037/a0037796" TargetMode="External"/><Relationship Id="rId73" Type="http://schemas.openxmlformats.org/officeDocument/2006/relationships/hyperlink" Target="https://doi.org/10.1037/apl0000170" TargetMode="External"/><Relationship Id="rId72" Type="http://schemas.openxmlformats.org/officeDocument/2006/relationships/hyperlink" Target="https://doi.org/10.1037/0021-9010.93.5.1013" TargetMode="External"/><Relationship Id="rId75" Type="http://schemas.openxmlformats.org/officeDocument/2006/relationships/hyperlink" Target="https://doi.org/10.1037/a0014977" TargetMode="External"/><Relationship Id="rId74" Type="http://schemas.openxmlformats.org/officeDocument/2006/relationships/hyperlink" Target="https://doi.org/10.1037/0021-9010.92.3.681" TargetMode="External"/><Relationship Id="rId77" Type="http://schemas.openxmlformats.org/officeDocument/2006/relationships/hyperlink" Target="https://doi.org/10.1037/a0013528" TargetMode="External"/><Relationship Id="rId76" Type="http://schemas.openxmlformats.org/officeDocument/2006/relationships/hyperlink" Target="https://doi.org/10.1037/a0029556" TargetMode="External"/><Relationship Id="rId79" Type="http://schemas.openxmlformats.org/officeDocument/2006/relationships/hyperlink" Target="https://doi.org/10.1037//0021-9010.87.1.156" TargetMode="External"/><Relationship Id="rId78" Type="http://schemas.openxmlformats.org/officeDocument/2006/relationships/hyperlink" Target="https://doi.org/10.1037/a0038976" TargetMode="External"/><Relationship Id="rId71" Type="http://schemas.openxmlformats.org/officeDocument/2006/relationships/hyperlink" Target="https://doi.org/10.1037/0021-9010.88.4.725" TargetMode="External"/><Relationship Id="rId70" Type="http://schemas.openxmlformats.org/officeDocument/2006/relationships/hyperlink" Target="https://doi.org/10.1037/a0013803" TargetMode="External"/><Relationship Id="rId62" Type="http://schemas.openxmlformats.org/officeDocument/2006/relationships/hyperlink" Target="https://doi.org/10.1037/0021-9010.93.2.472" TargetMode="External"/><Relationship Id="rId61" Type="http://schemas.openxmlformats.org/officeDocument/2006/relationships/hyperlink" Target="https://doi.org/10.1037/a0035863" TargetMode="External"/><Relationship Id="rId64" Type="http://schemas.openxmlformats.org/officeDocument/2006/relationships/hyperlink" Target="https://doi.org/10.1037/apl0000065" TargetMode="External"/><Relationship Id="rId63" Type="http://schemas.openxmlformats.org/officeDocument/2006/relationships/hyperlink" Target="https://doi.org/10.1037/0021-9010.88.1.113" TargetMode="External"/><Relationship Id="rId66" Type="http://schemas.openxmlformats.org/officeDocument/2006/relationships/hyperlink" Target="https://doi.org/10.1037/a0035788" TargetMode="External"/><Relationship Id="rId65" Type="http://schemas.openxmlformats.org/officeDocument/2006/relationships/hyperlink" Target="https://doi.org/10.1037/0021-9010.90.6.1217" TargetMode="External"/><Relationship Id="rId68" Type="http://schemas.openxmlformats.org/officeDocument/2006/relationships/hyperlink" Target="https://doi.org/10.1037/0021-9010.90.2.363" TargetMode="External"/><Relationship Id="rId67" Type="http://schemas.openxmlformats.org/officeDocument/2006/relationships/hyperlink" Target="https://doi.org/10.1037/0021-9010.89.2.311" TargetMode="External"/><Relationship Id="rId60" Type="http://schemas.openxmlformats.org/officeDocument/2006/relationships/hyperlink" Target="https://doi.org/10.1037/apl0000345" TargetMode="External"/><Relationship Id="rId69" Type="http://schemas.openxmlformats.org/officeDocument/2006/relationships/hyperlink" Target="https://doi.org/10.1037/0021-9010.91.4.802" TargetMode="External"/><Relationship Id="rId51" Type="http://schemas.openxmlformats.org/officeDocument/2006/relationships/hyperlink" Target="https://doi.org/10.1037/0021-9010.92.1.128" TargetMode="External"/><Relationship Id="rId50" Type="http://schemas.openxmlformats.org/officeDocument/2006/relationships/hyperlink" Target="https://doi.org/10.1037//0021-9010.85.6.880" TargetMode="External"/><Relationship Id="rId53" Type="http://schemas.openxmlformats.org/officeDocument/2006/relationships/hyperlink" Target="https://doi.org/10.1037/a0036628" TargetMode="External"/><Relationship Id="rId52" Type="http://schemas.openxmlformats.org/officeDocument/2006/relationships/hyperlink" Target="https://doi.org/10.1037/a0034269" TargetMode="External"/><Relationship Id="rId55" Type="http://schemas.openxmlformats.org/officeDocument/2006/relationships/hyperlink" Target="https://doi.org/10.1037/apl0000117" TargetMode="External"/><Relationship Id="rId54" Type="http://schemas.openxmlformats.org/officeDocument/2006/relationships/hyperlink" Target="https://doi.org/10.1037/0021-9010.86.4.741" TargetMode="External"/><Relationship Id="rId57" Type="http://schemas.openxmlformats.org/officeDocument/2006/relationships/hyperlink" Target="https://doi.org/10.1037/apl0000186" TargetMode="External"/><Relationship Id="rId56" Type="http://schemas.openxmlformats.org/officeDocument/2006/relationships/hyperlink" Target="https://doi.org/10.1037/a0038542" TargetMode="External"/><Relationship Id="rId59" Type="http://schemas.openxmlformats.org/officeDocument/2006/relationships/hyperlink" Target="https://doi.org/10.1037/a0017595" TargetMode="External"/><Relationship Id="rId58" Type="http://schemas.openxmlformats.org/officeDocument/2006/relationships/hyperlink" Target="https://doi.org/10.1037/a0015320" TargetMode="External"/><Relationship Id="rId107" Type="http://schemas.openxmlformats.org/officeDocument/2006/relationships/hyperlink" Target="https://doi.org/10.1037/apl0000058" TargetMode="External"/><Relationship Id="rId228" Type="http://schemas.openxmlformats.org/officeDocument/2006/relationships/hyperlink" Target="https://doi.org/10.1037/a0026811" TargetMode="External"/><Relationship Id="rId349" Type="http://schemas.openxmlformats.org/officeDocument/2006/relationships/hyperlink" Target="https://doi.org/10.1037/a0032002" TargetMode="External"/><Relationship Id="rId106" Type="http://schemas.openxmlformats.org/officeDocument/2006/relationships/hyperlink" Target="https://doi.org/10.1037/apl0000182" TargetMode="External"/><Relationship Id="rId227" Type="http://schemas.openxmlformats.org/officeDocument/2006/relationships/hyperlink" Target="https://doi.org/10.1037/0021-9010.90.5.980" TargetMode="External"/><Relationship Id="rId348" Type="http://schemas.openxmlformats.org/officeDocument/2006/relationships/hyperlink" Target="https://doi.org/10.1037/a0035729" TargetMode="External"/><Relationship Id="rId105" Type="http://schemas.openxmlformats.org/officeDocument/2006/relationships/hyperlink" Target="https://doi.org/10.1037//0021-9010.87.2.333" TargetMode="External"/><Relationship Id="rId226" Type="http://schemas.openxmlformats.org/officeDocument/2006/relationships/hyperlink" Target="https://doi.org/10.1037/a0017498" TargetMode="External"/><Relationship Id="rId347" Type="http://schemas.openxmlformats.org/officeDocument/2006/relationships/hyperlink" Target="https://doi.org/10.1037/0021-9010.88.4.587" TargetMode="External"/><Relationship Id="rId104" Type="http://schemas.openxmlformats.org/officeDocument/2006/relationships/hyperlink" Target="https://doi.org/10.1037/apl0000079" TargetMode="External"/><Relationship Id="rId225" Type="http://schemas.openxmlformats.org/officeDocument/2006/relationships/hyperlink" Target="https://doi.org/10.1037/0021-9010.89.2.208" TargetMode="External"/><Relationship Id="rId346" Type="http://schemas.openxmlformats.org/officeDocument/2006/relationships/hyperlink" Target="https://doi.org/10.1037/0021-9010.90.1.132" TargetMode="External"/><Relationship Id="rId109" Type="http://schemas.openxmlformats.org/officeDocument/2006/relationships/hyperlink" Target="https://doi.org/10.1037/a0038246" TargetMode="External"/><Relationship Id="rId108" Type="http://schemas.openxmlformats.org/officeDocument/2006/relationships/hyperlink" Target="https://doi.org/10.1037//0021-9010.86.6.1202" TargetMode="External"/><Relationship Id="rId229" Type="http://schemas.openxmlformats.org/officeDocument/2006/relationships/hyperlink" Target="https://doi.org/10.1037/a0021442" TargetMode="External"/><Relationship Id="rId220" Type="http://schemas.openxmlformats.org/officeDocument/2006/relationships/hyperlink" Target="https://doi.org/10.1037/apl0000156" TargetMode="External"/><Relationship Id="rId341" Type="http://schemas.openxmlformats.org/officeDocument/2006/relationships/hyperlink" Target="https://doi.org/10.1037/0021-9010.90.3.509" TargetMode="External"/><Relationship Id="rId340" Type="http://schemas.openxmlformats.org/officeDocument/2006/relationships/hyperlink" Target="https://doi.org/10.1037/a0026701" TargetMode="External"/><Relationship Id="rId103" Type="http://schemas.openxmlformats.org/officeDocument/2006/relationships/hyperlink" Target="https://doi.org/10.1037/0021-9010.85.5.724" TargetMode="External"/><Relationship Id="rId224" Type="http://schemas.openxmlformats.org/officeDocument/2006/relationships/hyperlink" Target="https://doi.org/10.1037//0021-9010.87.1.43" TargetMode="External"/><Relationship Id="rId345" Type="http://schemas.openxmlformats.org/officeDocument/2006/relationships/hyperlink" Target="https://doi.org/10.1037/0021-9010.92.1.81" TargetMode="External"/><Relationship Id="rId102" Type="http://schemas.openxmlformats.org/officeDocument/2006/relationships/hyperlink" Target="https://doi.org/10.1037/0021-9010.90.3.523" TargetMode="External"/><Relationship Id="rId223" Type="http://schemas.openxmlformats.org/officeDocument/2006/relationships/hyperlink" Target="https://doi.org/10.1037/a0012832" TargetMode="External"/><Relationship Id="rId344" Type="http://schemas.openxmlformats.org/officeDocument/2006/relationships/hyperlink" Target="https://doi.org/10.1037/0021-9010.89.1.14" TargetMode="External"/><Relationship Id="rId101" Type="http://schemas.openxmlformats.org/officeDocument/2006/relationships/hyperlink" Target="https://doi.org/10.1037/0021-9010.91.2.446" TargetMode="External"/><Relationship Id="rId222" Type="http://schemas.openxmlformats.org/officeDocument/2006/relationships/hyperlink" Target="https://doi.org/10.1037/0021-9010.90.3.553" TargetMode="External"/><Relationship Id="rId343" Type="http://schemas.openxmlformats.org/officeDocument/2006/relationships/hyperlink" Target="https://doi.org/10.1037/apl0000301" TargetMode="External"/><Relationship Id="rId100" Type="http://schemas.openxmlformats.org/officeDocument/2006/relationships/hyperlink" Target="https://doi.org/10.1037/a0020578" TargetMode="External"/><Relationship Id="rId221" Type="http://schemas.openxmlformats.org/officeDocument/2006/relationships/hyperlink" Target="https://doi.org/10.1037/0021-9010.91.5.1088" TargetMode="External"/><Relationship Id="rId342" Type="http://schemas.openxmlformats.org/officeDocument/2006/relationships/hyperlink" Target="https://doi.org/10.1037/apl0000046" TargetMode="External"/><Relationship Id="rId217" Type="http://schemas.openxmlformats.org/officeDocument/2006/relationships/hyperlink" Target="https://doi.org/10.1037/a0020952" TargetMode="External"/><Relationship Id="rId338" Type="http://schemas.openxmlformats.org/officeDocument/2006/relationships/hyperlink" Target="https://doi.org/10.1037/apl0000236" TargetMode="External"/><Relationship Id="rId216" Type="http://schemas.openxmlformats.org/officeDocument/2006/relationships/hyperlink" Target="https://doi.org/10.1037/0021-9010.93.5.1062" TargetMode="External"/><Relationship Id="rId337" Type="http://schemas.openxmlformats.org/officeDocument/2006/relationships/hyperlink" Target="https://doi.org/10.1037/a0028970" TargetMode="External"/><Relationship Id="rId215" Type="http://schemas.openxmlformats.org/officeDocument/2006/relationships/hyperlink" Target="https://doi.org/10.1037/a0017286" TargetMode="External"/><Relationship Id="rId336" Type="http://schemas.openxmlformats.org/officeDocument/2006/relationships/hyperlink" Target="https://doi.org/10.1037/0021-9010.92.3.820" TargetMode="External"/><Relationship Id="rId214" Type="http://schemas.openxmlformats.org/officeDocument/2006/relationships/hyperlink" Target="https://doi.org/10.1037/0021-9010.91.4.884" TargetMode="External"/><Relationship Id="rId335" Type="http://schemas.openxmlformats.org/officeDocument/2006/relationships/hyperlink" Target="https://doi.org/10.1037/a0034745" TargetMode="External"/><Relationship Id="rId219" Type="http://schemas.openxmlformats.org/officeDocument/2006/relationships/hyperlink" Target="https://doi.org/10.1037/a0016539" TargetMode="External"/><Relationship Id="rId218" Type="http://schemas.openxmlformats.org/officeDocument/2006/relationships/hyperlink" Target="https://doi.org/10.1037/0021-9010.91.1.40" TargetMode="External"/><Relationship Id="rId339" Type="http://schemas.openxmlformats.org/officeDocument/2006/relationships/hyperlink" Target="https://doi.org/10.1037/a0020923" TargetMode="External"/><Relationship Id="rId330" Type="http://schemas.openxmlformats.org/officeDocument/2006/relationships/hyperlink" Target="https://doi.org/10.1037/0021-9010.93.2.358" TargetMode="External"/><Relationship Id="rId213" Type="http://schemas.openxmlformats.org/officeDocument/2006/relationships/hyperlink" Target="https://doi.org/10.1037/0021-9010.91.1.58" TargetMode="External"/><Relationship Id="rId334" Type="http://schemas.openxmlformats.org/officeDocument/2006/relationships/hyperlink" Target="https://doi.org/10.1037/apl0000263" TargetMode="External"/><Relationship Id="rId212" Type="http://schemas.openxmlformats.org/officeDocument/2006/relationships/hyperlink" Target="https://doi.org/10.1037/0021-9010.90.2.257" TargetMode="External"/><Relationship Id="rId333" Type="http://schemas.openxmlformats.org/officeDocument/2006/relationships/hyperlink" Target="https://doi.org/10.1037/0021-9010.93.1.170" TargetMode="External"/><Relationship Id="rId211" Type="http://schemas.openxmlformats.org/officeDocument/2006/relationships/hyperlink" Target="https://doi.org/10.1037/0021-9010.85.1.38" TargetMode="External"/><Relationship Id="rId332" Type="http://schemas.openxmlformats.org/officeDocument/2006/relationships/hyperlink" Target="https://doi.org/10.1037/a0014975" TargetMode="External"/><Relationship Id="rId210" Type="http://schemas.openxmlformats.org/officeDocument/2006/relationships/hyperlink" Target="https://doi.org/10.1037//0021-9010.85.2.219" TargetMode="External"/><Relationship Id="rId331" Type="http://schemas.openxmlformats.org/officeDocument/2006/relationships/hyperlink" Target="https://doi.org/10.1037/a0024868" TargetMode="External"/><Relationship Id="rId370" Type="http://schemas.openxmlformats.org/officeDocument/2006/relationships/hyperlink" Target="https://doi.org/10.1037/apl0000059" TargetMode="External"/><Relationship Id="rId129" Type="http://schemas.openxmlformats.org/officeDocument/2006/relationships/hyperlink" Target="https://doi.org/10.1037/apl0000068" TargetMode="External"/><Relationship Id="rId128" Type="http://schemas.openxmlformats.org/officeDocument/2006/relationships/hyperlink" Target="https://doi.org/10.1037/0021-9010-93.3.685" TargetMode="External"/><Relationship Id="rId249" Type="http://schemas.openxmlformats.org/officeDocument/2006/relationships/hyperlink" Target="https://doi.org/10.1037/0021-9010.92.1.151" TargetMode="External"/><Relationship Id="rId127" Type="http://schemas.openxmlformats.org/officeDocument/2006/relationships/hyperlink" Target="https://doi.org/10.1037/a0034284" TargetMode="External"/><Relationship Id="rId248" Type="http://schemas.openxmlformats.org/officeDocument/2006/relationships/hyperlink" Target="https://doi.org/10.1037/0021-9010.88.2.284" TargetMode="External"/><Relationship Id="rId369" Type="http://schemas.openxmlformats.org/officeDocument/2006/relationships/hyperlink" Target="https://doi.org/10.1037/0021-9010.85.5.766" TargetMode="External"/><Relationship Id="rId126" Type="http://schemas.openxmlformats.org/officeDocument/2006/relationships/hyperlink" Target="https://doi.org/10.1037//0021-9010.87.2.411" TargetMode="External"/><Relationship Id="rId247" Type="http://schemas.openxmlformats.org/officeDocument/2006/relationships/hyperlink" Target="https://doi.org/10.1037/a0026014" TargetMode="External"/><Relationship Id="rId368" Type="http://schemas.openxmlformats.org/officeDocument/2006/relationships/hyperlink" Target="https://doi.org/10.1037/a0013115" TargetMode="External"/><Relationship Id="rId121" Type="http://schemas.openxmlformats.org/officeDocument/2006/relationships/hyperlink" Target="https://doi.org/10.1037/a0021196" TargetMode="External"/><Relationship Id="rId242" Type="http://schemas.openxmlformats.org/officeDocument/2006/relationships/hyperlink" Target="https://doi.org/10.1037/0021-9010.89.5.911" TargetMode="External"/><Relationship Id="rId363" Type="http://schemas.openxmlformats.org/officeDocument/2006/relationships/hyperlink" Target="https://doi.org/10.1037/ap10000188" TargetMode="External"/><Relationship Id="rId120" Type="http://schemas.openxmlformats.org/officeDocument/2006/relationships/hyperlink" Target="https://doi.org/10.1037/0021-9010.88.1.50" TargetMode="External"/><Relationship Id="rId241" Type="http://schemas.openxmlformats.org/officeDocument/2006/relationships/hyperlink" Target="https://doi.org/10.1037//0021-9010.87.3.427" TargetMode="External"/><Relationship Id="rId362" Type="http://schemas.openxmlformats.org/officeDocument/2006/relationships/hyperlink" Target="https://doi.org/10.1037/apl0000106" TargetMode="External"/><Relationship Id="rId240" Type="http://schemas.openxmlformats.org/officeDocument/2006/relationships/hyperlink" Target="https://doi.org/10.1037/0021-9010.91.2.330" TargetMode="External"/><Relationship Id="rId361" Type="http://schemas.openxmlformats.org/officeDocument/2006/relationships/hyperlink" Target="https://doi.org/10.1037/apl0000353" TargetMode="External"/><Relationship Id="rId360" Type="http://schemas.openxmlformats.org/officeDocument/2006/relationships/hyperlink" Target="https://doi.org/10.1037/a0022134" TargetMode="External"/><Relationship Id="rId125" Type="http://schemas.openxmlformats.org/officeDocument/2006/relationships/hyperlink" Target="https://doi.org/10.1037/0021-9010.93.2.280" TargetMode="External"/><Relationship Id="rId246" Type="http://schemas.openxmlformats.org/officeDocument/2006/relationships/hyperlink" Target="https://doi.org/10.1037/a0020858" TargetMode="External"/><Relationship Id="rId367" Type="http://schemas.openxmlformats.org/officeDocument/2006/relationships/hyperlink" Target="https://doi.org/10.1037/apl0000206" TargetMode="External"/><Relationship Id="rId124" Type="http://schemas.openxmlformats.org/officeDocument/2006/relationships/hyperlink" Target="https://doi.org/10.1037/0021-9010.89.2.187" TargetMode="External"/><Relationship Id="rId245" Type="http://schemas.openxmlformats.org/officeDocument/2006/relationships/hyperlink" Target="https://doi.org/10.1037//0021-9010.86.2.238" TargetMode="External"/><Relationship Id="rId366" Type="http://schemas.openxmlformats.org/officeDocument/2006/relationships/hyperlink" Target="https://doi.org/10.1037/apl0000214" TargetMode="External"/><Relationship Id="rId123" Type="http://schemas.openxmlformats.org/officeDocument/2006/relationships/hyperlink" Target="https://doi.org/10.1037//0021-9010.85.6.971" TargetMode="External"/><Relationship Id="rId244" Type="http://schemas.openxmlformats.org/officeDocument/2006/relationships/hyperlink" Target="https://doi.org/10.1037/0021-9010.91.3.653" TargetMode="External"/><Relationship Id="rId365" Type="http://schemas.openxmlformats.org/officeDocument/2006/relationships/hyperlink" Target="https://doi.org/10.1037/a0023684" TargetMode="External"/><Relationship Id="rId122" Type="http://schemas.openxmlformats.org/officeDocument/2006/relationships/hyperlink" Target="https://doi.org/10.1037/0021-9010.91.6.1189" TargetMode="External"/><Relationship Id="rId243" Type="http://schemas.openxmlformats.org/officeDocument/2006/relationships/hyperlink" Target="https://doi.org/10.1037/0021-9010.91.5.1066" TargetMode="External"/><Relationship Id="rId364" Type="http://schemas.openxmlformats.org/officeDocument/2006/relationships/hyperlink" Target="https://doi.org/10.1037/apl0000238" TargetMode="External"/><Relationship Id="rId95" Type="http://schemas.openxmlformats.org/officeDocument/2006/relationships/hyperlink" Target="https://doi.org/10.1037/a0037702" TargetMode="External"/><Relationship Id="rId94" Type="http://schemas.openxmlformats.org/officeDocument/2006/relationships/hyperlink" Target="https://replicationindex.com/2017/04/07/hidden-figures-replication-failures-in-the-stereotype-threat-literature/" TargetMode="External"/><Relationship Id="rId97" Type="http://schemas.openxmlformats.org/officeDocument/2006/relationships/hyperlink" Target="https://doi.org/10.1037/a0038282" TargetMode="External"/><Relationship Id="rId96" Type="http://schemas.openxmlformats.org/officeDocument/2006/relationships/hyperlink" Target="https://doi.org/10.1037/0021-9010.87.5.867" TargetMode="External"/><Relationship Id="rId99" Type="http://schemas.openxmlformats.org/officeDocument/2006/relationships/hyperlink" Target="https://doi.org/10.1037/a0019939" TargetMode="External"/><Relationship Id="rId98" Type="http://schemas.openxmlformats.org/officeDocument/2006/relationships/hyperlink" Target="https://doi.org/10.1037/a0013935" TargetMode="External"/><Relationship Id="rId91" Type="http://schemas.openxmlformats.org/officeDocument/2006/relationships/hyperlink" Target="https://doi.org/10.1037/0021-9010.92.4.113" TargetMode="External"/><Relationship Id="rId90" Type="http://schemas.openxmlformats.org/officeDocument/2006/relationships/hyperlink" Target="https://doi.org/10.1037//0021-9010.87.4.698" TargetMode="External"/><Relationship Id="rId93" Type="http://schemas.openxmlformats.org/officeDocument/2006/relationships/hyperlink" Target="https://doi.org/10.1037/apl0000139" TargetMode="External"/><Relationship Id="rId92" Type="http://schemas.openxmlformats.org/officeDocument/2006/relationships/hyperlink" Target="https://doi.org/10.1037/apl0000272" TargetMode="External"/><Relationship Id="rId118" Type="http://schemas.openxmlformats.org/officeDocument/2006/relationships/hyperlink" Target="https://doi.org/10.1037/a0022741" TargetMode="External"/><Relationship Id="rId239" Type="http://schemas.openxmlformats.org/officeDocument/2006/relationships/hyperlink" Target="https://doi.org/10.1037/0021-9010.93.5.1118" TargetMode="External"/><Relationship Id="rId117" Type="http://schemas.openxmlformats.org/officeDocument/2006/relationships/hyperlink" Target="https://doi.org/10.1037/0021-9010.89.2.293" TargetMode="External"/><Relationship Id="rId238" Type="http://schemas.openxmlformats.org/officeDocument/2006/relationships/hyperlink" Target="https://doi.org/10.1037//0021-9010.85.5.659" TargetMode="External"/><Relationship Id="rId359" Type="http://schemas.openxmlformats.org/officeDocument/2006/relationships/hyperlink" Target="https://doi.org/10.1037/a0016557" TargetMode="External"/><Relationship Id="rId116" Type="http://schemas.openxmlformats.org/officeDocument/2006/relationships/hyperlink" Target="https://doi.org/10.1037/a0033177" TargetMode="External"/><Relationship Id="rId237" Type="http://schemas.openxmlformats.org/officeDocument/2006/relationships/hyperlink" Target="https://doi.org/10.1037/a0032001" TargetMode="External"/><Relationship Id="rId358" Type="http://schemas.openxmlformats.org/officeDocument/2006/relationships/hyperlink" Target="https://doi.org/10.1037/0021-9010.87.1.131" TargetMode="External"/><Relationship Id="rId115" Type="http://schemas.openxmlformats.org/officeDocument/2006/relationships/hyperlink" Target="https://doi.org/10.1037/apl0000255" TargetMode="External"/><Relationship Id="rId236" Type="http://schemas.openxmlformats.org/officeDocument/2006/relationships/hyperlink" Target="https://doi.org/10.1037/a0013350" TargetMode="External"/><Relationship Id="rId357" Type="http://schemas.openxmlformats.org/officeDocument/2006/relationships/hyperlink" Target="https://doi.org/10.1037/0021-9010.89.2.279" TargetMode="External"/><Relationship Id="rId119" Type="http://schemas.openxmlformats.org/officeDocument/2006/relationships/hyperlink" Target="https://doi.org/10.1037/0021-9010.88.1.170" TargetMode="External"/><Relationship Id="rId110" Type="http://schemas.openxmlformats.org/officeDocument/2006/relationships/hyperlink" Target="https://doi.org/10.1037/0021-9010.92.3.616" TargetMode="External"/><Relationship Id="rId231" Type="http://schemas.openxmlformats.org/officeDocument/2006/relationships/hyperlink" Target="https://doi.org/10.1037/a0038047" TargetMode="External"/><Relationship Id="rId352" Type="http://schemas.openxmlformats.org/officeDocument/2006/relationships/hyperlink" Target="https://doi.org/10.1037/apl0000253" TargetMode="External"/><Relationship Id="rId230" Type="http://schemas.openxmlformats.org/officeDocument/2006/relationships/hyperlink" Target="https://doi.org/10.1037/0021-9010.90.3.563" TargetMode="External"/><Relationship Id="rId351" Type="http://schemas.openxmlformats.org/officeDocument/2006/relationships/hyperlink" Target="https://doi.org/10.1037/apl0000138" TargetMode="External"/><Relationship Id="rId350" Type="http://schemas.openxmlformats.org/officeDocument/2006/relationships/hyperlink" Target="https://doi.org/10.1037/a0013506" TargetMode="External"/><Relationship Id="rId114" Type="http://schemas.openxmlformats.org/officeDocument/2006/relationships/hyperlink" Target="https://doi.org/10.1037/a0037495" TargetMode="External"/><Relationship Id="rId235" Type="http://schemas.openxmlformats.org/officeDocument/2006/relationships/hyperlink" Target="https://doi.org/10.1037//0021-9010.86.6.1191" TargetMode="External"/><Relationship Id="rId356" Type="http://schemas.openxmlformats.org/officeDocument/2006/relationships/hyperlink" Target="https://doi.org/10.1037/apl0000035" TargetMode="External"/><Relationship Id="rId113" Type="http://schemas.openxmlformats.org/officeDocument/2006/relationships/hyperlink" Target="https://doi.org/10.1037//0021-9010.85.4.542" TargetMode="External"/><Relationship Id="rId234" Type="http://schemas.openxmlformats.org/officeDocument/2006/relationships/hyperlink" Target="https://doi.org/10.1037/apl0000230" TargetMode="External"/><Relationship Id="rId355" Type="http://schemas.openxmlformats.org/officeDocument/2006/relationships/hyperlink" Target="https://doi.org/10.1037/0021-9010.90.4.603" TargetMode="External"/><Relationship Id="rId112" Type="http://schemas.openxmlformats.org/officeDocument/2006/relationships/hyperlink" Target="https://doi.org/10.1037/apl0000286" TargetMode="External"/><Relationship Id="rId233" Type="http://schemas.openxmlformats.org/officeDocument/2006/relationships/hyperlink" Target="https://doi.org/10.1037/a0033855" TargetMode="External"/><Relationship Id="rId354" Type="http://schemas.openxmlformats.org/officeDocument/2006/relationships/hyperlink" Target="https://doi.org/10.1037/0021-9010.90.1.147" TargetMode="External"/><Relationship Id="rId111" Type="http://schemas.openxmlformats.org/officeDocument/2006/relationships/hyperlink" Target="https://doi.org/10.1037/a0014891" TargetMode="External"/><Relationship Id="rId232" Type="http://schemas.openxmlformats.org/officeDocument/2006/relationships/hyperlink" Target="https://doi.org/10.1037/a0015044" TargetMode="External"/><Relationship Id="rId353" Type="http://schemas.openxmlformats.org/officeDocument/2006/relationships/hyperlink" Target="https://doi.org/10.1037/0021-9010.90.6.1204" TargetMode="External"/><Relationship Id="rId305" Type="http://schemas.openxmlformats.org/officeDocument/2006/relationships/hyperlink" Target="https://doi.org/10.1037/0021-9010.91.2.490" TargetMode="External"/><Relationship Id="rId304" Type="http://schemas.openxmlformats.org/officeDocument/2006/relationships/hyperlink" Target="https://doi.org/10.1037//0021-9010.87.1.14" TargetMode="External"/><Relationship Id="rId303" Type="http://schemas.openxmlformats.org/officeDocument/2006/relationships/hyperlink" Target="https://doi.org/10.1037/a0023254" TargetMode="External"/><Relationship Id="rId302" Type="http://schemas.openxmlformats.org/officeDocument/2006/relationships/hyperlink" Target="https://doi.org/10.1037/apl0000278" TargetMode="External"/><Relationship Id="rId309" Type="http://schemas.openxmlformats.org/officeDocument/2006/relationships/hyperlink" Target="https://doi.org/10.1037/apl0000190" TargetMode="External"/><Relationship Id="rId308" Type="http://schemas.openxmlformats.org/officeDocument/2006/relationships/hyperlink" Target="https://doi.org/10.1037//0021-9010.86.3.451" TargetMode="External"/><Relationship Id="rId307" Type="http://schemas.openxmlformats.org/officeDocument/2006/relationships/hyperlink" Target="https://doi.org/10.1037/apl0000321" TargetMode="External"/><Relationship Id="rId306" Type="http://schemas.openxmlformats.org/officeDocument/2006/relationships/hyperlink" Target="https://doi.org/10.1037/a0038755" TargetMode="External"/><Relationship Id="rId301" Type="http://schemas.openxmlformats.org/officeDocument/2006/relationships/hyperlink" Target="https://doi.org/10.1037/0021-9010.85.1.143" TargetMode="External"/><Relationship Id="rId300" Type="http://schemas.openxmlformats.org/officeDocument/2006/relationships/hyperlink" Target="https://doi.org/10.1037/ap10000195" TargetMode="External"/><Relationship Id="rId206" Type="http://schemas.openxmlformats.org/officeDocument/2006/relationships/hyperlink" Target="https://doi.org/10.1037/a0015900" TargetMode="External"/><Relationship Id="rId327" Type="http://schemas.openxmlformats.org/officeDocument/2006/relationships/hyperlink" Target="https://doi.org/10.1037//0021-9010.85.2.284" TargetMode="External"/><Relationship Id="rId205" Type="http://schemas.openxmlformats.org/officeDocument/2006/relationships/hyperlink" Target="https://doi.org/10.1037//0021-9010.86.5.1014" TargetMode="External"/><Relationship Id="rId326" Type="http://schemas.openxmlformats.org/officeDocument/2006/relationships/hyperlink" Target="https://doi.org/10.1037/a0019298" TargetMode="External"/><Relationship Id="rId204" Type="http://schemas.openxmlformats.org/officeDocument/2006/relationships/hyperlink" Target="https://doi.org/10.1037//0021-9010.85.3.331" TargetMode="External"/><Relationship Id="rId325" Type="http://schemas.openxmlformats.org/officeDocument/2006/relationships/hyperlink" Target="https://doi.org/10.1037/apl0000104" TargetMode="External"/><Relationship Id="rId203" Type="http://schemas.openxmlformats.org/officeDocument/2006/relationships/hyperlink" Target="https://doi.org/10.1037/0021-9010.90.5.945" TargetMode="External"/><Relationship Id="rId324" Type="http://schemas.openxmlformats.org/officeDocument/2006/relationships/hyperlink" Target="https://doi.org/10.1037//0021-9010.86.1.154" TargetMode="External"/><Relationship Id="rId209" Type="http://schemas.openxmlformats.org/officeDocument/2006/relationships/hyperlink" Target="https://doi.org/10.1037/apl0000184" TargetMode="External"/><Relationship Id="rId208" Type="http://schemas.openxmlformats.org/officeDocument/2006/relationships/hyperlink" Target="https://doi.org/10.1037/0021-9010.93.2.346" TargetMode="External"/><Relationship Id="rId329" Type="http://schemas.openxmlformats.org/officeDocument/2006/relationships/hyperlink" Target="https://doi.org/10.1037/a0038082" TargetMode="External"/><Relationship Id="rId207" Type="http://schemas.openxmlformats.org/officeDocument/2006/relationships/hyperlink" Target="https://doi.org/10.1037/a0013773" TargetMode="External"/><Relationship Id="rId328" Type="http://schemas.openxmlformats.org/officeDocument/2006/relationships/hyperlink" Target="https://doi.org/10.1037/a0034317" TargetMode="External"/><Relationship Id="rId202" Type="http://schemas.openxmlformats.org/officeDocument/2006/relationships/hyperlink" Target="https://doi.org/10.1037/ap10000312" TargetMode="External"/><Relationship Id="rId323" Type="http://schemas.openxmlformats.org/officeDocument/2006/relationships/hyperlink" Target="https://doi.org/10.1037/apl0000169" TargetMode="External"/><Relationship Id="rId201" Type="http://schemas.openxmlformats.org/officeDocument/2006/relationships/hyperlink" Target="https://doi.org/10.1037/ap10000312" TargetMode="External"/><Relationship Id="rId322" Type="http://schemas.openxmlformats.org/officeDocument/2006/relationships/hyperlink" Target="https://doi.org/10.1037//0021-9010.86.4.684" TargetMode="External"/><Relationship Id="rId200" Type="http://schemas.openxmlformats.org/officeDocument/2006/relationships/hyperlink" Target="https://doi.org/10.1037//0021-9010.86.6.1270" TargetMode="External"/><Relationship Id="rId321" Type="http://schemas.openxmlformats.org/officeDocument/2006/relationships/hyperlink" Target="https://doi.org/10.1037/a0020073" TargetMode="External"/><Relationship Id="rId320" Type="http://schemas.openxmlformats.org/officeDocument/2006/relationships/hyperlink" Target="https://doi.org/10.1037//0021-9010.85.3.439" TargetMode="External"/><Relationship Id="rId316" Type="http://schemas.openxmlformats.org/officeDocument/2006/relationships/hyperlink" Target="https://doi.org/10.1037/a0013746" TargetMode="External"/><Relationship Id="rId315" Type="http://schemas.openxmlformats.org/officeDocument/2006/relationships/hyperlink" Target="https://doi.org/10.1037/0021-9010.88.6.1104" TargetMode="External"/><Relationship Id="rId314" Type="http://schemas.openxmlformats.org/officeDocument/2006/relationships/hyperlink" Target="https://doi.org/10.1037/0021-9010.93.4.922" TargetMode="External"/><Relationship Id="rId313" Type="http://schemas.openxmlformats.org/officeDocument/2006/relationships/hyperlink" Target="https://doi.org/10.1037/0021-9010.89.1.158" TargetMode="External"/><Relationship Id="rId319" Type="http://schemas.openxmlformats.org/officeDocument/2006/relationships/hyperlink" Target="https://doi.org/10.1037/apl0000002" TargetMode="External"/><Relationship Id="rId318" Type="http://schemas.openxmlformats.org/officeDocument/2006/relationships/hyperlink" Target="https://doi.org/10.1037/a0020373" TargetMode="External"/><Relationship Id="rId317" Type="http://schemas.openxmlformats.org/officeDocument/2006/relationships/hyperlink" Target="https://doi.org/10.1037/a0027934" TargetMode="External"/><Relationship Id="rId312" Type="http://schemas.openxmlformats.org/officeDocument/2006/relationships/hyperlink" Target="https://doi.org/10.1037/apl0000036" TargetMode="External"/><Relationship Id="rId311" Type="http://schemas.openxmlformats.org/officeDocument/2006/relationships/hyperlink" Target="https://doi.org/10.1037/0021-9010.90.4.710" TargetMode="External"/><Relationship Id="rId310" Type="http://schemas.openxmlformats.org/officeDocument/2006/relationships/hyperlink" Target="https://doi.org/10.1037//0021-9010.87.6.117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37/0021-9010.86.6.1106" TargetMode="External"/><Relationship Id="rId2" Type="http://schemas.openxmlformats.org/officeDocument/2006/relationships/hyperlink" Target="https://doi.org/10.1037/0021-9010.90.3.574" TargetMode="External"/><Relationship Id="rId3" Type="http://schemas.openxmlformats.org/officeDocument/2006/relationships/hyperlink" Target="https://doi.org/10.1037/a0014391" TargetMode="External"/><Relationship Id="rId4" Type="http://schemas.openxmlformats.org/officeDocument/2006/relationships/hyperlink" Target="https://doi.org/10.1037/0021-9010.91.4.971"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8.14"/>
    <col customWidth="1" min="3" max="3" width="39.43"/>
    <col customWidth="1" min="4" max="4" width="23.57"/>
    <col customWidth="1" min="5" max="5" width="15.86"/>
    <col customWidth="1" min="6" max="6" width="16.43"/>
    <col customWidth="1" min="7" max="7" width="9.0"/>
    <col customWidth="1" min="8" max="8" width="22.0"/>
    <col customWidth="1" min="9" max="9" width="9.14"/>
    <col customWidth="1" min="10" max="10" width="12.57"/>
    <col customWidth="1" min="11" max="11" width="102.0"/>
    <col customWidth="1" min="12" max="12" width="101.43"/>
    <col customWidth="1" min="13" max="13" width="19.43"/>
    <col customWidth="1" min="14" max="14" width="20.29"/>
    <col customWidth="1" min="15" max="17" width="21.86"/>
    <col customWidth="1" min="18" max="18" width="25.14"/>
    <col customWidth="1" min="19" max="19" width="29.43"/>
    <col customWidth="1" min="20" max="20" width="30.29"/>
    <col customWidth="1" min="21" max="21" width="90.43"/>
    <col customWidth="1" min="22" max="22" width="21.57"/>
    <col customWidth="1" min="23" max="23" width="29.43"/>
  </cols>
  <sheetData>
    <row r="1" ht="43.5" customHeight="1">
      <c r="A1" s="1" t="s">
        <v>0</v>
      </c>
      <c r="B1" s="2" t="s">
        <v>1</v>
      </c>
      <c r="C1" s="3" t="s">
        <v>2</v>
      </c>
      <c r="D1" s="1" t="s">
        <v>3</v>
      </c>
      <c r="E1" s="1" t="s">
        <v>4</v>
      </c>
      <c r="F1" s="1" t="s">
        <v>5</v>
      </c>
      <c r="G1" s="1" t="s">
        <v>6</v>
      </c>
      <c r="H1" s="1" t="s">
        <v>16</v>
      </c>
      <c r="I1" s="1" t="s">
        <v>7</v>
      </c>
      <c r="J1" s="1" t="s">
        <v>8</v>
      </c>
      <c r="K1" s="1" t="s">
        <v>9</v>
      </c>
      <c r="L1" s="1" t="s">
        <v>10</v>
      </c>
      <c r="M1" s="1" t="s">
        <v>11</v>
      </c>
      <c r="N1" s="1" t="s">
        <v>12</v>
      </c>
      <c r="O1" s="1" t="s">
        <v>13</v>
      </c>
      <c r="P1" s="1" t="s">
        <v>14</v>
      </c>
      <c r="Q1" s="4" t="s">
        <v>15</v>
      </c>
      <c r="R1" s="4" t="s">
        <v>17</v>
      </c>
      <c r="S1" s="1" t="s">
        <v>18</v>
      </c>
      <c r="T1" s="1" t="s">
        <v>19</v>
      </c>
      <c r="U1" s="5" t="s">
        <v>20</v>
      </c>
      <c r="V1" s="6"/>
      <c r="W1" s="6"/>
    </row>
    <row r="2">
      <c r="A2" s="9">
        <f>SUM(A3:A1195)</f>
        <v>102</v>
      </c>
      <c r="B2" s="8"/>
      <c r="C2" s="10"/>
      <c r="D2" s="11"/>
      <c r="E2" s="11"/>
      <c r="F2" s="12"/>
      <c r="G2" s="12"/>
      <c r="H2" s="8"/>
      <c r="I2" s="8"/>
      <c r="J2" s="8"/>
      <c r="K2" s="10"/>
      <c r="L2" s="13"/>
      <c r="M2" s="15"/>
      <c r="N2" s="15"/>
      <c r="O2" s="15"/>
      <c r="P2" s="15"/>
      <c r="Q2" s="15"/>
      <c r="R2" s="15"/>
      <c r="S2" s="15"/>
      <c r="T2" s="15"/>
      <c r="U2" s="16"/>
    </row>
    <row r="3">
      <c r="A3" s="7"/>
      <c r="B3" s="8"/>
      <c r="C3" s="10"/>
      <c r="D3" s="11"/>
      <c r="E3" s="11"/>
      <c r="F3" s="12"/>
      <c r="G3" s="12"/>
      <c r="H3" s="8"/>
      <c r="I3" s="8"/>
      <c r="J3" s="8"/>
      <c r="K3" s="10"/>
      <c r="L3" s="17" t="s">
        <v>23</v>
      </c>
      <c r="M3" s="15"/>
      <c r="N3" s="15"/>
      <c r="O3" s="15"/>
      <c r="P3" s="15"/>
      <c r="Q3" s="15"/>
      <c r="R3" s="15"/>
      <c r="S3" s="15"/>
      <c r="T3" s="15"/>
      <c r="U3" s="16"/>
    </row>
    <row r="4">
      <c r="A4" s="7"/>
      <c r="B4" s="8"/>
      <c r="C4" s="10"/>
      <c r="D4" s="11"/>
      <c r="E4" s="11"/>
      <c r="F4" s="12"/>
      <c r="G4" s="12"/>
      <c r="H4" s="8"/>
      <c r="I4" s="8"/>
      <c r="J4" s="8"/>
      <c r="K4" s="10"/>
      <c r="L4" s="18" t="s">
        <v>25</v>
      </c>
      <c r="M4" s="15"/>
      <c r="N4" s="15"/>
      <c r="O4" s="15"/>
      <c r="P4" s="15"/>
      <c r="Q4" s="15"/>
      <c r="R4" s="15"/>
      <c r="S4" s="15"/>
      <c r="T4" s="15"/>
      <c r="U4" s="16"/>
    </row>
    <row r="5">
      <c r="A5" s="7"/>
      <c r="B5" s="8"/>
      <c r="C5" s="10"/>
      <c r="D5" s="11"/>
      <c r="E5" s="11"/>
      <c r="F5" s="12"/>
      <c r="G5" s="12"/>
      <c r="H5" s="8"/>
      <c r="I5" s="8"/>
      <c r="J5" s="8"/>
      <c r="K5" s="10"/>
      <c r="L5" s="19" t="s">
        <v>27</v>
      </c>
      <c r="M5" s="15"/>
      <c r="N5" s="15"/>
      <c r="O5" s="15"/>
      <c r="P5" s="15"/>
      <c r="Q5" s="15"/>
      <c r="R5" s="15"/>
      <c r="S5" s="15"/>
      <c r="T5" s="15"/>
      <c r="U5" s="16"/>
    </row>
    <row r="6">
      <c r="A6" s="7"/>
      <c r="B6" s="8"/>
      <c r="C6" s="10"/>
      <c r="D6" s="11"/>
      <c r="E6" s="11"/>
      <c r="F6" s="12"/>
      <c r="G6" s="12"/>
      <c r="H6" s="8"/>
      <c r="I6" s="8"/>
      <c r="J6" s="8"/>
      <c r="K6" s="10"/>
      <c r="L6" s="21" t="s">
        <v>28</v>
      </c>
      <c r="M6" s="15"/>
      <c r="N6" s="15"/>
      <c r="O6" s="15"/>
      <c r="P6" s="15"/>
      <c r="Q6" s="15"/>
      <c r="R6" s="15"/>
      <c r="S6" s="15"/>
      <c r="T6" s="15"/>
      <c r="U6" s="16"/>
    </row>
    <row r="7">
      <c r="A7" s="7"/>
      <c r="B7" s="8"/>
      <c r="C7" s="10"/>
      <c r="D7" s="11"/>
      <c r="E7" s="11"/>
      <c r="F7" s="12"/>
      <c r="G7" s="12"/>
      <c r="H7" s="8"/>
      <c r="I7" s="8"/>
      <c r="J7" s="8"/>
      <c r="K7" s="10"/>
      <c r="L7" s="23" t="s">
        <v>29</v>
      </c>
      <c r="M7" s="15"/>
      <c r="N7" s="15"/>
      <c r="O7" s="15"/>
      <c r="P7" s="15"/>
      <c r="Q7" s="15"/>
      <c r="R7" s="15"/>
      <c r="S7" s="15"/>
      <c r="T7" s="15"/>
      <c r="U7" s="16"/>
    </row>
    <row r="8">
      <c r="A8" s="7"/>
      <c r="B8" s="8"/>
      <c r="C8" s="8"/>
      <c r="D8" s="11"/>
      <c r="E8" s="11"/>
      <c r="F8" s="12"/>
      <c r="G8" s="12"/>
      <c r="H8" s="8"/>
      <c r="I8" s="8"/>
      <c r="J8" s="8"/>
      <c r="K8" s="10"/>
      <c r="L8" s="13"/>
      <c r="M8" s="15"/>
      <c r="N8" s="15"/>
      <c r="O8" s="15"/>
      <c r="P8" s="15"/>
      <c r="Q8" s="15"/>
      <c r="R8" s="15"/>
      <c r="S8" s="15"/>
      <c r="T8" s="15"/>
      <c r="U8" s="16"/>
    </row>
    <row r="9">
      <c r="A9" s="7"/>
      <c r="B9" s="25"/>
      <c r="C9" s="25"/>
      <c r="D9" s="26"/>
      <c r="E9" s="26"/>
      <c r="F9" s="27"/>
      <c r="G9" s="27"/>
      <c r="H9" s="25"/>
      <c r="I9" s="25"/>
      <c r="J9" s="25"/>
      <c r="K9" s="28"/>
      <c r="L9" s="29"/>
      <c r="M9" s="30"/>
      <c r="N9" s="30"/>
      <c r="O9" s="30"/>
      <c r="P9" s="30"/>
      <c r="Q9" s="30"/>
      <c r="R9" s="30"/>
      <c r="S9" s="30"/>
      <c r="T9" s="30"/>
      <c r="U9" s="32"/>
      <c r="V9" s="34"/>
      <c r="W9" s="34"/>
      <c r="X9" s="34"/>
      <c r="Y9" s="34"/>
      <c r="Z9" s="34"/>
      <c r="AA9" s="34"/>
      <c r="AB9" s="34"/>
      <c r="AC9" s="34"/>
      <c r="AD9" s="34"/>
      <c r="AE9" s="34"/>
    </row>
    <row r="10">
      <c r="A10" s="7"/>
      <c r="B10" s="8">
        <v>1.0</v>
      </c>
      <c r="C10" s="14" t="s">
        <v>34</v>
      </c>
      <c r="D10" s="11"/>
      <c r="E10" s="11"/>
      <c r="F10" s="12"/>
      <c r="G10" s="12"/>
      <c r="H10" s="8"/>
      <c r="I10" s="8"/>
      <c r="J10" s="8"/>
      <c r="K10" s="10"/>
      <c r="L10" s="13"/>
      <c r="M10" s="15"/>
      <c r="N10" s="15"/>
      <c r="O10" s="15"/>
      <c r="P10" s="15"/>
      <c r="Q10" s="15"/>
      <c r="R10" s="15"/>
      <c r="S10" s="15"/>
      <c r="T10" s="15"/>
      <c r="U10" s="16"/>
    </row>
    <row r="11">
      <c r="A11" s="7"/>
      <c r="B11" s="8">
        <v>2.0</v>
      </c>
      <c r="C11" s="14" t="s">
        <v>36</v>
      </c>
      <c r="D11" s="7" t="s">
        <v>31</v>
      </c>
      <c r="E11" s="7" t="s">
        <v>32</v>
      </c>
      <c r="F11" s="8" t="s">
        <v>37</v>
      </c>
      <c r="G11" s="8">
        <v>2011.0</v>
      </c>
      <c r="H11" s="8"/>
      <c r="I11" s="8"/>
      <c r="J11" s="8"/>
      <c r="K11" s="10"/>
      <c r="L11" s="13"/>
      <c r="M11" s="15"/>
      <c r="N11" s="15"/>
      <c r="O11" s="15"/>
      <c r="P11" s="15"/>
      <c r="Q11" s="15"/>
      <c r="R11" s="15"/>
      <c r="S11" s="15"/>
      <c r="T11" s="15"/>
      <c r="U11" s="16"/>
    </row>
    <row r="12">
      <c r="A12" s="7"/>
      <c r="B12" s="8">
        <v>3.0</v>
      </c>
      <c r="C12" s="14" t="s">
        <v>38</v>
      </c>
      <c r="D12" s="7" t="s">
        <v>43</v>
      </c>
      <c r="E12" s="11"/>
      <c r="F12" s="12"/>
      <c r="G12" s="12"/>
      <c r="H12" s="8"/>
      <c r="I12" s="8"/>
      <c r="J12" s="8"/>
      <c r="K12" s="10"/>
      <c r="L12" s="13"/>
      <c r="M12" s="15"/>
      <c r="N12" s="15"/>
      <c r="O12" s="15"/>
      <c r="P12" s="15"/>
      <c r="Q12" s="15"/>
      <c r="R12" s="15"/>
      <c r="S12" s="15"/>
      <c r="T12" s="15"/>
      <c r="U12" s="16"/>
    </row>
    <row r="13">
      <c r="A13" s="7"/>
      <c r="B13" s="8">
        <v>4.0</v>
      </c>
      <c r="C13" s="14" t="s">
        <v>44</v>
      </c>
      <c r="D13" s="7" t="s">
        <v>45</v>
      </c>
      <c r="E13" s="7"/>
      <c r="F13" s="8"/>
      <c r="G13" s="8"/>
      <c r="H13" s="8"/>
      <c r="I13" s="8"/>
      <c r="J13" s="8"/>
      <c r="K13" s="10"/>
      <c r="L13" s="13"/>
      <c r="M13" s="15"/>
      <c r="N13" s="15"/>
      <c r="O13" s="15"/>
      <c r="P13" s="15"/>
      <c r="Q13" s="15"/>
      <c r="R13" s="15"/>
      <c r="S13" s="15"/>
      <c r="T13" s="15"/>
      <c r="U13" s="16"/>
    </row>
    <row r="14">
      <c r="A14" s="48"/>
      <c r="B14" s="49">
        <v>5.0</v>
      </c>
      <c r="C14" s="51" t="s">
        <v>46</v>
      </c>
      <c r="D14" s="48" t="s">
        <v>48</v>
      </c>
      <c r="E14" s="48" t="s">
        <v>32</v>
      </c>
      <c r="F14" s="49" t="s">
        <v>49</v>
      </c>
      <c r="G14" s="49">
        <v>2003.0</v>
      </c>
      <c r="H14" s="49"/>
      <c r="I14" s="49"/>
      <c r="J14" s="49"/>
      <c r="K14" s="53"/>
      <c r="L14" s="54"/>
      <c r="M14" s="55"/>
      <c r="N14" s="55"/>
      <c r="O14" s="55"/>
      <c r="P14" s="55"/>
      <c r="Q14" s="55"/>
      <c r="R14" s="55"/>
      <c r="S14" s="55"/>
      <c r="T14" s="55"/>
      <c r="U14" s="53" t="s">
        <v>51</v>
      </c>
      <c r="V14" s="56"/>
      <c r="W14" s="56"/>
      <c r="X14" s="56"/>
      <c r="Y14" s="56"/>
      <c r="Z14" s="56"/>
      <c r="AA14" s="56"/>
      <c r="AB14" s="56"/>
      <c r="AC14" s="56"/>
      <c r="AD14" s="56"/>
      <c r="AE14" s="56"/>
      <c r="AF14" s="56"/>
      <c r="AG14" s="56"/>
      <c r="AH14" s="56"/>
      <c r="AI14" s="56"/>
      <c r="AJ14" s="56"/>
      <c r="AK14" s="56"/>
      <c r="AL14" s="56"/>
    </row>
    <row r="15">
      <c r="A15" s="7"/>
      <c r="B15" s="8">
        <v>6.0</v>
      </c>
      <c r="C15" s="14" t="s">
        <v>52</v>
      </c>
      <c r="D15" s="7" t="s">
        <v>56</v>
      </c>
      <c r="E15" s="11"/>
      <c r="F15" s="12"/>
      <c r="G15" s="12"/>
      <c r="H15" s="8"/>
      <c r="I15" s="8"/>
      <c r="J15" s="8"/>
      <c r="K15" s="16"/>
      <c r="L15" s="13"/>
      <c r="M15" s="15"/>
      <c r="N15" s="15"/>
      <c r="O15" s="15"/>
      <c r="P15" s="15"/>
      <c r="Q15" s="15"/>
      <c r="R15" s="15"/>
      <c r="S15" s="15"/>
      <c r="T15" s="15"/>
      <c r="U15" s="16"/>
    </row>
    <row r="16">
      <c r="A16" s="7"/>
      <c r="B16" s="8">
        <v>7.0</v>
      </c>
      <c r="C16" s="14" t="s">
        <v>59</v>
      </c>
      <c r="D16" s="7" t="s">
        <v>60</v>
      </c>
      <c r="E16" s="7" t="s">
        <v>61</v>
      </c>
      <c r="F16" s="8" t="s">
        <v>62</v>
      </c>
      <c r="G16" s="8">
        <v>2005.0</v>
      </c>
      <c r="H16" s="8"/>
      <c r="I16" s="8"/>
      <c r="J16" s="8"/>
      <c r="K16" s="16"/>
      <c r="L16" s="13"/>
      <c r="M16" s="15"/>
      <c r="N16" s="15"/>
      <c r="O16" s="15"/>
      <c r="P16" s="15"/>
      <c r="Q16" s="15"/>
      <c r="R16" s="15"/>
      <c r="S16" s="15"/>
      <c r="T16" s="15"/>
      <c r="U16" s="16"/>
    </row>
    <row r="17">
      <c r="A17" s="7"/>
      <c r="B17" s="8">
        <v>8.0</v>
      </c>
      <c r="C17" s="14" t="s">
        <v>21</v>
      </c>
      <c r="D17" s="7" t="s">
        <v>22</v>
      </c>
      <c r="E17" s="11"/>
      <c r="F17" s="12"/>
      <c r="G17" s="12"/>
      <c r="H17" s="8"/>
      <c r="I17" s="8"/>
      <c r="J17" s="8"/>
      <c r="K17" s="16"/>
      <c r="L17" s="13"/>
      <c r="M17" s="15"/>
      <c r="N17" s="15"/>
      <c r="O17" s="15"/>
      <c r="P17" s="15"/>
      <c r="Q17" s="15"/>
      <c r="R17" s="15"/>
      <c r="S17" s="15"/>
      <c r="T17" s="15"/>
      <c r="U17" s="16"/>
    </row>
    <row r="18">
      <c r="A18" s="7"/>
      <c r="B18" s="8">
        <v>9.0</v>
      </c>
      <c r="C18" s="14" t="s">
        <v>24</v>
      </c>
      <c r="D18" s="7" t="s">
        <v>22</v>
      </c>
      <c r="E18" s="7"/>
      <c r="F18" s="8" t="s">
        <v>26</v>
      </c>
      <c r="G18" s="8">
        <v>2005.0</v>
      </c>
      <c r="H18" s="8"/>
      <c r="I18" s="8"/>
      <c r="J18" s="8"/>
      <c r="K18" s="20"/>
      <c r="L18" s="13"/>
      <c r="M18" s="15"/>
      <c r="N18" s="15"/>
      <c r="O18" s="15"/>
      <c r="P18" s="15"/>
      <c r="Q18" s="15"/>
      <c r="R18" s="15"/>
      <c r="S18" s="15"/>
      <c r="T18" s="15"/>
      <c r="U18" s="16"/>
    </row>
    <row r="19">
      <c r="A19" s="22">
        <v>1.0</v>
      </c>
      <c r="B19" s="24">
        <v>10.0</v>
      </c>
      <c r="C19" s="31" t="s">
        <v>30</v>
      </c>
      <c r="D19" s="33" t="s">
        <v>31</v>
      </c>
      <c r="E19" s="33" t="s">
        <v>32</v>
      </c>
      <c r="F19" s="35" t="s">
        <v>33</v>
      </c>
      <c r="G19" s="35">
        <v>2009.0</v>
      </c>
      <c r="H19" s="35"/>
      <c r="I19" s="35">
        <v>1.0</v>
      </c>
      <c r="J19" s="36">
        <v>1.0</v>
      </c>
      <c r="K19" s="37" t="s">
        <v>73</v>
      </c>
      <c r="L19" s="38"/>
      <c r="M19" s="39"/>
      <c r="N19" s="39"/>
      <c r="O19" s="39"/>
      <c r="P19" s="39"/>
      <c r="Q19" s="39"/>
      <c r="R19" s="39"/>
      <c r="S19" s="39"/>
      <c r="T19" s="39"/>
      <c r="U19" s="40"/>
    </row>
    <row r="20">
      <c r="A20" s="41"/>
      <c r="B20" s="42">
        <v>10.0</v>
      </c>
      <c r="C20" s="43"/>
      <c r="D20" s="41"/>
      <c r="E20" s="41"/>
      <c r="F20" s="43"/>
      <c r="G20" s="43"/>
      <c r="H20" s="43">
        <v>1.0</v>
      </c>
      <c r="I20" s="43">
        <v>1.0</v>
      </c>
      <c r="J20" s="44">
        <v>2.0</v>
      </c>
      <c r="K20" s="45" t="s">
        <v>74</v>
      </c>
      <c r="L20" s="45" t="s">
        <v>40</v>
      </c>
      <c r="M20" s="46" t="s">
        <v>41</v>
      </c>
      <c r="N20" s="46" t="s">
        <v>42</v>
      </c>
      <c r="O20" s="47"/>
      <c r="P20" s="47"/>
      <c r="Q20" s="47"/>
      <c r="R20" s="47">
        <f>TDIST(2.64,51,2)</f>
        <v>0.01097289293</v>
      </c>
      <c r="S20" s="47">
        <f t="shared" ref="S20:S23" si="1">NORMINV(1-R20/2,0,1)</f>
        <v>2.543560896</v>
      </c>
      <c r="T20" s="47">
        <f t="shared" ref="T20:T23" si="2">NORMDIST(S20,1.96,1,TRUE)</f>
        <v>0.7202421122</v>
      </c>
      <c r="U20" s="50"/>
    </row>
    <row r="21">
      <c r="A21" s="41"/>
      <c r="B21" s="42">
        <v>10.0</v>
      </c>
      <c r="C21" s="43"/>
      <c r="D21" s="41"/>
      <c r="E21" s="41"/>
      <c r="F21" s="43"/>
      <c r="G21" s="43"/>
      <c r="H21" s="43">
        <v>1.0</v>
      </c>
      <c r="I21" s="43">
        <v>1.0</v>
      </c>
      <c r="J21" s="44">
        <v>2.0</v>
      </c>
      <c r="K21" s="45"/>
      <c r="L21" s="45"/>
      <c r="M21" s="44" t="s">
        <v>78</v>
      </c>
      <c r="N21" s="44" t="s">
        <v>50</v>
      </c>
      <c r="O21" s="47"/>
      <c r="P21" s="47"/>
      <c r="Q21" s="47"/>
      <c r="R21" s="47">
        <f>TDIST(0.69,51,2)</f>
        <v>0.4933222436</v>
      </c>
      <c r="S21" s="57">
        <f t="shared" si="1"/>
        <v>0.6850343527</v>
      </c>
      <c r="T21" s="47">
        <f t="shared" si="2"/>
        <v>0.1011607007</v>
      </c>
      <c r="U21" s="50"/>
    </row>
    <row r="22">
      <c r="A22" s="41"/>
      <c r="B22" s="42">
        <v>10.0</v>
      </c>
      <c r="C22" s="43"/>
      <c r="D22" s="41"/>
      <c r="E22" s="41"/>
      <c r="F22" s="43"/>
      <c r="G22" s="43"/>
      <c r="H22" s="43">
        <v>1.0</v>
      </c>
      <c r="I22" s="43">
        <v>1.0</v>
      </c>
      <c r="J22" s="44" t="s">
        <v>53</v>
      </c>
      <c r="K22" s="45" t="s">
        <v>82</v>
      </c>
      <c r="L22" s="58" t="s">
        <v>55</v>
      </c>
      <c r="M22" s="44" t="s">
        <v>57</v>
      </c>
      <c r="N22" s="44" t="s">
        <v>58</v>
      </c>
      <c r="O22" s="47"/>
      <c r="P22" s="47"/>
      <c r="Q22" s="47"/>
      <c r="R22" s="47">
        <f>TDIST(2.41,51,2)</f>
        <v>0.01959811738</v>
      </c>
      <c r="S22" s="57">
        <f t="shared" si="1"/>
        <v>2.333954255</v>
      </c>
      <c r="T22" s="47">
        <f t="shared" si="2"/>
        <v>0.6457808249</v>
      </c>
      <c r="U22" s="50"/>
    </row>
    <row r="23">
      <c r="A23" s="41"/>
      <c r="B23" s="42">
        <v>10.0</v>
      </c>
      <c r="C23" s="43"/>
      <c r="D23" s="41"/>
      <c r="E23" s="41"/>
      <c r="F23" s="43"/>
      <c r="G23" s="43"/>
      <c r="H23" s="43">
        <v>1.0</v>
      </c>
      <c r="I23" s="43">
        <v>1.0</v>
      </c>
      <c r="J23" s="44" t="s">
        <v>53</v>
      </c>
      <c r="K23" s="45"/>
      <c r="L23" s="59"/>
      <c r="M23" s="44" t="s">
        <v>83</v>
      </c>
      <c r="N23" s="44" t="s">
        <v>64</v>
      </c>
      <c r="O23" s="47"/>
      <c r="P23" s="47"/>
      <c r="Q23" s="47"/>
      <c r="R23" s="47">
        <f>TDIST(1.07,51,2)</f>
        <v>0.2896573484</v>
      </c>
      <c r="S23" s="57">
        <f t="shared" si="1"/>
        <v>1.058873602</v>
      </c>
      <c r="T23" s="47">
        <f t="shared" si="2"/>
        <v>0.1837605594</v>
      </c>
      <c r="U23" s="50"/>
    </row>
    <row r="24">
      <c r="A24" s="41"/>
      <c r="B24" s="42">
        <v>10.0</v>
      </c>
      <c r="C24" s="43"/>
      <c r="D24" s="41"/>
      <c r="E24" s="41"/>
      <c r="F24" s="43"/>
      <c r="G24" s="43"/>
      <c r="H24" s="43">
        <v>1.0</v>
      </c>
      <c r="I24" s="43">
        <v>1.0</v>
      </c>
      <c r="J24" s="44" t="s">
        <v>65</v>
      </c>
      <c r="K24" s="45" t="s">
        <v>85</v>
      </c>
      <c r="L24" s="45" t="s">
        <v>86</v>
      </c>
      <c r="M24" s="60"/>
      <c r="N24" s="43"/>
      <c r="O24" s="60"/>
      <c r="P24" s="60"/>
      <c r="Q24" s="43" t="s">
        <v>68</v>
      </c>
      <c r="R24" s="47"/>
      <c r="S24" s="47"/>
      <c r="T24" s="47"/>
      <c r="U24" s="50"/>
    </row>
    <row r="25">
      <c r="A25" s="41">
        <v>1.0</v>
      </c>
      <c r="B25" s="42">
        <v>10.0</v>
      </c>
      <c r="C25" s="43"/>
      <c r="D25" s="41"/>
      <c r="E25" s="41"/>
      <c r="F25" s="43"/>
      <c r="G25" s="43"/>
      <c r="H25" s="43"/>
      <c r="I25" s="43">
        <v>2.0</v>
      </c>
      <c r="J25" s="44">
        <v>2.0</v>
      </c>
      <c r="K25" s="45" t="s">
        <v>88</v>
      </c>
      <c r="L25" s="45" t="s">
        <v>70</v>
      </c>
      <c r="M25" s="44" t="s">
        <v>71</v>
      </c>
      <c r="N25" s="44" t="s">
        <v>72</v>
      </c>
      <c r="O25" s="47"/>
      <c r="P25" s="47"/>
      <c r="Q25" s="47"/>
      <c r="R25" s="47">
        <f>TDIST(3.2,97,2)</f>
        <v>0.00185765357</v>
      </c>
      <c r="S25" s="47">
        <f t="shared" ref="S25:S27" si="3">NORMINV(1-R25/2,0,1)</f>
        <v>3.112093969</v>
      </c>
      <c r="T25" s="47">
        <f t="shared" ref="T25:T27" si="4">NORMDIST(S25,1.96,1,TRUE)</f>
        <v>0.8753587694</v>
      </c>
      <c r="U25" s="50"/>
    </row>
    <row r="26">
      <c r="A26" s="41"/>
      <c r="B26" s="42">
        <v>10.0</v>
      </c>
      <c r="C26" s="43"/>
      <c r="D26" s="41"/>
      <c r="E26" s="41"/>
      <c r="F26" s="43"/>
      <c r="G26" s="43"/>
      <c r="H26" s="43"/>
      <c r="I26" s="43">
        <v>2.0</v>
      </c>
      <c r="J26" s="44">
        <v>2.0</v>
      </c>
      <c r="K26" s="45"/>
      <c r="L26" s="45"/>
      <c r="M26" s="44" t="s">
        <v>91</v>
      </c>
      <c r="N26" s="44" t="s">
        <v>76</v>
      </c>
      <c r="O26" s="47"/>
      <c r="P26" s="47"/>
      <c r="Q26" s="47"/>
      <c r="R26" s="47">
        <f>TDIST(0.41,97,2)</f>
        <v>0.6827100556</v>
      </c>
      <c r="S26" s="47">
        <f t="shared" si="3"/>
        <v>0.4087678229</v>
      </c>
      <c r="T26" s="47">
        <f t="shared" si="4"/>
        <v>0.06042302681</v>
      </c>
      <c r="U26" s="50"/>
    </row>
    <row r="27">
      <c r="A27" s="68"/>
      <c r="B27" s="69">
        <v>10.0</v>
      </c>
      <c r="C27" s="70"/>
      <c r="D27" s="68"/>
      <c r="E27" s="68"/>
      <c r="F27" s="70"/>
      <c r="G27" s="70"/>
      <c r="H27" s="70">
        <v>2.0</v>
      </c>
      <c r="I27" s="70">
        <v>2.0</v>
      </c>
      <c r="J27" s="71">
        <v>4.0</v>
      </c>
      <c r="K27" s="61" t="s">
        <v>96</v>
      </c>
      <c r="L27" s="61" t="s">
        <v>79</v>
      </c>
      <c r="M27" s="71" t="s">
        <v>97</v>
      </c>
      <c r="N27" s="71" t="s">
        <v>81</v>
      </c>
      <c r="O27" s="72"/>
      <c r="P27" s="72"/>
      <c r="Q27" s="72"/>
      <c r="R27" s="72">
        <f>TDIST(2.69,97,2)</f>
        <v>0.008413627412</v>
      </c>
      <c r="S27" s="72">
        <f t="shared" si="3"/>
        <v>2.635004074</v>
      </c>
      <c r="T27" s="72">
        <f t="shared" si="4"/>
        <v>0.7501634116</v>
      </c>
      <c r="U27" s="73"/>
    </row>
    <row r="28">
      <c r="A28" s="22">
        <v>1.0</v>
      </c>
      <c r="B28" s="74">
        <v>10.0</v>
      </c>
      <c r="C28" s="62"/>
      <c r="D28" s="22"/>
      <c r="E28" s="22"/>
      <c r="F28" s="62"/>
      <c r="G28" s="62"/>
      <c r="H28" s="62"/>
      <c r="I28" s="62">
        <v>3.0</v>
      </c>
      <c r="J28" s="63">
        <v>1.0</v>
      </c>
      <c r="K28" s="64" t="s">
        <v>102</v>
      </c>
      <c r="L28" s="65"/>
      <c r="M28" s="66"/>
      <c r="N28" s="66"/>
      <c r="O28" s="66"/>
      <c r="P28" s="66"/>
      <c r="Q28" s="66"/>
      <c r="R28" s="66"/>
      <c r="S28" s="66"/>
      <c r="T28" s="66"/>
      <c r="U28" s="67"/>
    </row>
    <row r="29">
      <c r="A29" s="41"/>
      <c r="B29" s="42"/>
      <c r="C29" s="43"/>
      <c r="D29" s="41"/>
      <c r="E29" s="41"/>
      <c r="F29" s="43"/>
      <c r="G29" s="43"/>
      <c r="H29" s="43"/>
      <c r="I29" s="43">
        <v>3.0</v>
      </c>
      <c r="J29" s="44">
        <v>2.0</v>
      </c>
      <c r="K29" s="45" t="s">
        <v>106</v>
      </c>
      <c r="L29" s="45" t="s">
        <v>89</v>
      </c>
      <c r="M29" s="44" t="s">
        <v>90</v>
      </c>
      <c r="N29" s="44" t="s">
        <v>81</v>
      </c>
      <c r="O29" s="47"/>
      <c r="P29" s="47"/>
      <c r="Q29" s="47"/>
      <c r="R29" s="47">
        <f>TDIST(2.38,73,2)</f>
        <v>0.01992586334</v>
      </c>
      <c r="S29" s="47">
        <f t="shared" ref="S29:S31" si="5">NORMINV(1-R29/2,0,1)</f>
        <v>2.32774095</v>
      </c>
      <c r="T29" s="47">
        <f t="shared" ref="T29:T31" si="6">NORMDIST(S29,1.96,1,TRUE)</f>
        <v>0.6434667983</v>
      </c>
      <c r="U29" s="50"/>
    </row>
    <row r="30">
      <c r="A30" s="41"/>
      <c r="B30" s="42">
        <v>10.0</v>
      </c>
      <c r="C30" s="43"/>
      <c r="D30" s="41"/>
      <c r="E30" s="41"/>
      <c r="F30" s="43"/>
      <c r="G30" s="43"/>
      <c r="H30" s="43"/>
      <c r="I30" s="43">
        <v>3.0</v>
      </c>
      <c r="J30" s="44">
        <v>2.0</v>
      </c>
      <c r="K30" s="45"/>
      <c r="L30" s="59"/>
      <c r="M30" s="44" t="s">
        <v>92</v>
      </c>
      <c r="N30" s="44" t="s">
        <v>81</v>
      </c>
      <c r="O30" s="47"/>
      <c r="P30" s="47"/>
      <c r="Q30" s="47"/>
      <c r="R30" s="47">
        <f>TDIST(2.37,73,2)</f>
        <v>0.02043223433</v>
      </c>
      <c r="S30" s="47">
        <f t="shared" si="5"/>
        <v>2.318314512</v>
      </c>
      <c r="T30" s="47">
        <f t="shared" si="6"/>
        <v>0.6399460203</v>
      </c>
      <c r="U30" s="50"/>
    </row>
    <row r="31">
      <c r="A31" s="41"/>
      <c r="B31" s="42">
        <v>10.0</v>
      </c>
      <c r="C31" s="43"/>
      <c r="D31" s="41"/>
      <c r="E31" s="41"/>
      <c r="F31" s="43"/>
      <c r="G31" s="43"/>
      <c r="H31" s="43"/>
      <c r="I31" s="43">
        <v>3.0</v>
      </c>
      <c r="J31" s="44" t="s">
        <v>53</v>
      </c>
      <c r="K31" s="45" t="s">
        <v>107</v>
      </c>
      <c r="L31" s="45" t="s">
        <v>94</v>
      </c>
      <c r="M31" s="44" t="s">
        <v>95</v>
      </c>
      <c r="N31" s="44" t="s">
        <v>42</v>
      </c>
      <c r="O31" s="47"/>
      <c r="P31" s="47"/>
      <c r="Q31" s="47"/>
      <c r="R31" s="47">
        <f>TDIST(2.73,73,2)</f>
        <v>0.007933316393</v>
      </c>
      <c r="S31" s="47">
        <f t="shared" si="5"/>
        <v>2.654894723</v>
      </c>
      <c r="T31" s="47">
        <f t="shared" si="6"/>
        <v>0.75643936</v>
      </c>
      <c r="U31" s="50"/>
    </row>
    <row r="32">
      <c r="A32" s="41"/>
      <c r="B32" s="42">
        <v>10.0</v>
      </c>
      <c r="C32" s="43"/>
      <c r="D32" s="41"/>
      <c r="E32" s="41"/>
      <c r="F32" s="43"/>
      <c r="G32" s="43"/>
      <c r="H32" s="43"/>
      <c r="I32" s="43">
        <v>3.0</v>
      </c>
      <c r="J32" s="44" t="s">
        <v>65</v>
      </c>
      <c r="K32" s="45" t="s">
        <v>109</v>
      </c>
      <c r="L32" s="45" t="s">
        <v>110</v>
      </c>
      <c r="M32" s="47"/>
      <c r="N32" s="47"/>
      <c r="O32" s="47"/>
      <c r="P32" s="47"/>
      <c r="Q32" s="44" t="s">
        <v>100</v>
      </c>
      <c r="R32" s="47"/>
      <c r="S32" s="47"/>
      <c r="T32" s="47"/>
      <c r="U32" s="50"/>
    </row>
    <row r="33">
      <c r="A33" s="41"/>
      <c r="B33" s="42">
        <v>10.0</v>
      </c>
      <c r="C33" s="43"/>
      <c r="D33" s="41"/>
      <c r="E33" s="41"/>
      <c r="F33" s="43"/>
      <c r="G33" s="43"/>
      <c r="H33" s="43"/>
      <c r="I33" s="43">
        <v>3.0</v>
      </c>
      <c r="J33" s="44"/>
      <c r="K33" s="45"/>
      <c r="L33" s="45"/>
      <c r="M33" s="47"/>
      <c r="N33" s="47"/>
      <c r="O33" s="47"/>
      <c r="P33" s="47"/>
      <c r="Q33" s="44" t="s">
        <v>101</v>
      </c>
      <c r="R33" s="47"/>
      <c r="S33" s="47"/>
      <c r="T33" s="47"/>
      <c r="U33" s="50"/>
    </row>
    <row r="34">
      <c r="A34" s="68"/>
      <c r="B34" s="69">
        <v>10.0</v>
      </c>
      <c r="C34" s="70"/>
      <c r="D34" s="68"/>
      <c r="E34" s="68"/>
      <c r="F34" s="70"/>
      <c r="G34" s="70"/>
      <c r="H34" s="70">
        <v>3.0</v>
      </c>
      <c r="I34" s="70">
        <v>3.0</v>
      </c>
      <c r="J34" s="71">
        <v>4.0</v>
      </c>
      <c r="K34" s="61" t="s">
        <v>111</v>
      </c>
      <c r="L34" s="61" t="s">
        <v>104</v>
      </c>
      <c r="M34" s="71" t="s">
        <v>112</v>
      </c>
      <c r="N34" s="71" t="s">
        <v>81</v>
      </c>
      <c r="O34" s="72"/>
      <c r="P34" s="72"/>
      <c r="Q34" s="72"/>
      <c r="R34" s="72">
        <f>tdist(2.12,73,2)</f>
        <v>0.03740548775</v>
      </c>
      <c r="S34" s="72">
        <f t="shared" ref="S34:S35" si="7">NORMINV(1-R34/2,0,1)</f>
        <v>2.081310574</v>
      </c>
      <c r="T34" s="72">
        <f t="shared" ref="T34:T35" si="8">NORMDIST(S34,1.96,1,TRUE)</f>
        <v>0.5482774774</v>
      </c>
      <c r="U34" s="73"/>
    </row>
    <row r="35">
      <c r="A35" s="41"/>
      <c r="B35" s="83">
        <v>10.0</v>
      </c>
      <c r="C35" s="75"/>
      <c r="D35" s="76"/>
      <c r="E35" s="76"/>
      <c r="F35" s="75"/>
      <c r="G35" s="75"/>
      <c r="H35" s="75"/>
      <c r="I35" s="75">
        <v>3.0</v>
      </c>
      <c r="J35" s="77">
        <v>4.0</v>
      </c>
      <c r="K35" s="78"/>
      <c r="L35" s="79"/>
      <c r="M35" s="77" t="s">
        <v>113</v>
      </c>
      <c r="N35" s="77" t="s">
        <v>81</v>
      </c>
      <c r="O35" s="80"/>
      <c r="P35" s="80"/>
      <c r="Q35" s="80"/>
      <c r="R35" s="80">
        <f>TDIST(2.22,73,2)</f>
        <v>0.02952412665</v>
      </c>
      <c r="S35" s="80">
        <f t="shared" si="7"/>
        <v>2.176416558</v>
      </c>
      <c r="T35" s="80">
        <f t="shared" si="8"/>
        <v>0.5856684696</v>
      </c>
      <c r="U35" s="81"/>
    </row>
    <row r="36">
      <c r="A36" s="7"/>
      <c r="B36" s="82"/>
      <c r="C36" s="8"/>
      <c r="D36" s="7"/>
      <c r="E36" s="7"/>
      <c r="F36" s="8"/>
      <c r="G36" s="8"/>
      <c r="H36" s="8"/>
      <c r="I36" s="8"/>
      <c r="J36" s="84"/>
      <c r="K36" s="16"/>
      <c r="L36" s="16"/>
      <c r="M36" s="84"/>
      <c r="N36" s="84"/>
      <c r="O36" s="15"/>
      <c r="P36" s="84"/>
      <c r="Q36" s="15"/>
      <c r="R36" s="15"/>
      <c r="S36" s="15"/>
      <c r="T36" s="15"/>
      <c r="U36" s="85"/>
    </row>
    <row r="37">
      <c r="A37" s="41">
        <v>1.0</v>
      </c>
      <c r="B37" s="86">
        <v>11.0</v>
      </c>
      <c r="C37" s="87" t="s">
        <v>114</v>
      </c>
      <c r="D37" s="88" t="s">
        <v>48</v>
      </c>
      <c r="E37" s="88" t="s">
        <v>32</v>
      </c>
      <c r="F37" s="89" t="s">
        <v>115</v>
      </c>
      <c r="G37" s="89">
        <v>2006.0</v>
      </c>
      <c r="H37" s="89">
        <v>1.0</v>
      </c>
      <c r="I37" s="89">
        <v>1.0</v>
      </c>
      <c r="J37" s="90">
        <v>1.0</v>
      </c>
      <c r="K37" s="91" t="s">
        <v>116</v>
      </c>
      <c r="L37" s="91" t="s">
        <v>117</v>
      </c>
      <c r="M37" s="90" t="s">
        <v>118</v>
      </c>
      <c r="N37" s="90" t="s">
        <v>119</v>
      </c>
      <c r="O37" s="92"/>
      <c r="P37" s="90" t="s">
        <v>120</v>
      </c>
      <c r="Q37" s="92"/>
      <c r="R37" s="92">
        <f>FDIST(15.84,1,121)</f>
        <v>0.0001179684389</v>
      </c>
      <c r="S37" s="92">
        <f t="shared" ref="S37:S39" si="9">NORMINV(1-R37/2,0,1)</f>
        <v>3.850309949</v>
      </c>
      <c r="T37" s="92">
        <f t="shared" ref="T37:T39" si="10">NORMDIST(S37,1.96,1,TRUE)</f>
        <v>0.9706417405</v>
      </c>
      <c r="U37" s="93"/>
    </row>
    <row r="38">
      <c r="A38" s="41"/>
      <c r="B38" s="42">
        <v>11.0</v>
      </c>
      <c r="C38" s="43"/>
      <c r="D38" s="41"/>
      <c r="E38" s="94"/>
      <c r="F38" s="43"/>
      <c r="G38" s="43"/>
      <c r="H38" s="43">
        <v>1.0</v>
      </c>
      <c r="I38" s="43">
        <v>1.0</v>
      </c>
      <c r="J38" s="44">
        <v>2.0</v>
      </c>
      <c r="K38" s="45" t="s">
        <v>121</v>
      </c>
      <c r="L38" s="45" t="s">
        <v>122</v>
      </c>
      <c r="M38" s="44" t="s">
        <v>123</v>
      </c>
      <c r="N38" s="44" t="s">
        <v>119</v>
      </c>
      <c r="O38" s="47"/>
      <c r="P38" s="44" t="s">
        <v>124</v>
      </c>
      <c r="Q38" s="47"/>
      <c r="R38" s="47">
        <f>FDIST(10.65,1,121)</f>
        <v>0.001431068435</v>
      </c>
      <c r="S38" s="47">
        <f t="shared" si="9"/>
        <v>3.188310361</v>
      </c>
      <c r="T38" s="47">
        <f t="shared" si="10"/>
        <v>0.8903347586</v>
      </c>
      <c r="U38" s="50"/>
    </row>
    <row r="39">
      <c r="A39" s="41"/>
      <c r="B39" s="42">
        <v>11.0</v>
      </c>
      <c r="C39" s="43"/>
      <c r="D39" s="41"/>
      <c r="E39" s="94"/>
      <c r="F39" s="43"/>
      <c r="G39" s="43"/>
      <c r="H39" s="43">
        <v>1.0</v>
      </c>
      <c r="I39" s="43">
        <v>1.0</v>
      </c>
      <c r="J39" s="44">
        <v>3.0</v>
      </c>
      <c r="K39" s="45" t="s">
        <v>125</v>
      </c>
      <c r="L39" s="45" t="s">
        <v>126</v>
      </c>
      <c r="M39" s="44" t="s">
        <v>127</v>
      </c>
      <c r="N39" s="44" t="s">
        <v>128</v>
      </c>
      <c r="O39" s="47"/>
      <c r="P39" s="44" t="s">
        <v>129</v>
      </c>
      <c r="Q39" s="47"/>
      <c r="R39" s="47">
        <f>FDIST(141.21,1,121)</f>
        <v>0</v>
      </c>
      <c r="S39" s="47" t="str">
        <f t="shared" si="9"/>
        <v>#NUM!</v>
      </c>
      <c r="T39" s="47" t="str">
        <f t="shared" si="10"/>
        <v>#NUM!</v>
      </c>
      <c r="U39" s="50"/>
    </row>
    <row r="40">
      <c r="A40" s="41"/>
      <c r="B40" s="42">
        <v>11.0</v>
      </c>
      <c r="C40" s="43"/>
      <c r="D40" s="41"/>
      <c r="E40" s="94"/>
      <c r="F40" s="43"/>
      <c r="G40" s="43"/>
      <c r="H40" s="43">
        <v>1.0</v>
      </c>
      <c r="I40" s="43">
        <v>1.0</v>
      </c>
      <c r="J40" s="44" t="s">
        <v>130</v>
      </c>
      <c r="K40" s="45" t="s">
        <v>131</v>
      </c>
      <c r="L40" s="45" t="s">
        <v>132</v>
      </c>
      <c r="M40" s="44" t="s">
        <v>133</v>
      </c>
      <c r="N40" s="47"/>
      <c r="O40" s="44">
        <v>1.96</v>
      </c>
      <c r="P40" s="47"/>
      <c r="Q40" s="47"/>
      <c r="R40" s="47"/>
      <c r="S40" s="47"/>
      <c r="T40" s="47"/>
      <c r="U40" s="50"/>
    </row>
    <row r="41">
      <c r="A41" s="41"/>
      <c r="B41" s="83">
        <v>11.0</v>
      </c>
      <c r="C41" s="75"/>
      <c r="D41" s="76"/>
      <c r="E41" s="95"/>
      <c r="F41" s="75"/>
      <c r="G41" s="75"/>
      <c r="H41" s="75">
        <v>1.0</v>
      </c>
      <c r="I41" s="75">
        <v>1.0</v>
      </c>
      <c r="J41" s="77" t="s">
        <v>134</v>
      </c>
      <c r="K41" s="78" t="s">
        <v>135</v>
      </c>
      <c r="L41" s="78" t="s">
        <v>136</v>
      </c>
      <c r="M41" s="77" t="s">
        <v>137</v>
      </c>
      <c r="N41" s="80"/>
      <c r="O41" s="77">
        <v>1.79</v>
      </c>
      <c r="P41" s="80"/>
      <c r="Q41" s="80"/>
      <c r="R41" s="80"/>
      <c r="S41" s="80"/>
      <c r="T41" s="80"/>
      <c r="U41" s="81"/>
    </row>
    <row r="42">
      <c r="A42" s="7"/>
      <c r="B42" s="8">
        <v>12.0</v>
      </c>
      <c r="C42" s="14" t="s">
        <v>138</v>
      </c>
      <c r="D42" s="7" t="s">
        <v>56</v>
      </c>
      <c r="E42" s="11"/>
      <c r="F42" s="8" t="s">
        <v>139</v>
      </c>
      <c r="G42" s="8">
        <v>2014.0</v>
      </c>
      <c r="H42" s="8"/>
      <c r="I42" s="8"/>
      <c r="J42" s="84"/>
      <c r="K42" s="16"/>
      <c r="L42" s="13"/>
      <c r="M42" s="15"/>
      <c r="N42" s="15"/>
      <c r="O42" s="15"/>
      <c r="P42" s="15"/>
      <c r="Q42" s="15"/>
      <c r="R42" s="15"/>
      <c r="S42" s="15"/>
      <c r="T42" s="15"/>
      <c r="U42" s="16"/>
    </row>
    <row r="43">
      <c r="A43" s="7"/>
      <c r="B43" s="8">
        <v>13.0</v>
      </c>
      <c r="C43" s="14" t="s">
        <v>140</v>
      </c>
      <c r="D43" s="7" t="s">
        <v>56</v>
      </c>
      <c r="E43" s="11"/>
      <c r="F43" s="8" t="s">
        <v>141</v>
      </c>
      <c r="G43" s="8">
        <v>2012.0</v>
      </c>
      <c r="H43" s="8"/>
      <c r="I43" s="8"/>
      <c r="J43" s="84"/>
      <c r="K43" s="16"/>
      <c r="L43" s="13"/>
      <c r="M43" s="15"/>
      <c r="N43" s="15"/>
      <c r="O43" s="15"/>
      <c r="P43" s="15"/>
      <c r="Q43" s="15"/>
      <c r="R43" s="15"/>
      <c r="S43" s="15"/>
      <c r="T43" s="15"/>
      <c r="U43" s="16"/>
    </row>
    <row r="44">
      <c r="A44" s="7"/>
      <c r="B44" s="8">
        <v>14.0</v>
      </c>
      <c r="C44" s="14" t="s">
        <v>142</v>
      </c>
      <c r="D44" s="7" t="s">
        <v>143</v>
      </c>
      <c r="E44" s="11"/>
      <c r="F44" s="8" t="s">
        <v>144</v>
      </c>
      <c r="G44" s="8">
        <v>2008.0</v>
      </c>
      <c r="H44" s="8"/>
      <c r="I44" s="8"/>
      <c r="J44" s="84"/>
      <c r="K44" s="16"/>
      <c r="L44" s="13"/>
      <c r="M44" s="15"/>
      <c r="N44" s="15"/>
      <c r="O44" s="15"/>
      <c r="P44" s="15"/>
      <c r="Q44" s="15"/>
      <c r="R44" s="15"/>
      <c r="S44" s="15"/>
      <c r="T44" s="15"/>
      <c r="U44" s="16"/>
    </row>
    <row r="45">
      <c r="A45" s="7"/>
      <c r="B45" s="8">
        <v>15.0</v>
      </c>
      <c r="C45" s="14" t="s">
        <v>145</v>
      </c>
      <c r="D45" s="7" t="s">
        <v>146</v>
      </c>
      <c r="E45" s="11"/>
      <c r="F45" s="8" t="s">
        <v>147</v>
      </c>
      <c r="G45" s="8">
        <v>2005.0</v>
      </c>
      <c r="H45" s="8"/>
      <c r="I45" s="8"/>
      <c r="J45" s="84"/>
      <c r="K45" s="16"/>
      <c r="L45" s="13"/>
      <c r="M45" s="15"/>
      <c r="N45" s="15"/>
      <c r="O45" s="15"/>
      <c r="P45" s="15"/>
      <c r="Q45" s="15"/>
      <c r="R45" s="15"/>
      <c r="S45" s="15"/>
      <c r="T45" s="15"/>
      <c r="U45" s="16"/>
    </row>
    <row r="46">
      <c r="A46" s="7"/>
      <c r="B46" s="8">
        <v>16.0</v>
      </c>
      <c r="C46" s="14" t="s">
        <v>148</v>
      </c>
      <c r="D46" s="7" t="s">
        <v>149</v>
      </c>
      <c r="E46" s="11"/>
      <c r="F46" s="8" t="s">
        <v>150</v>
      </c>
      <c r="G46" s="8">
        <v>2009.0</v>
      </c>
      <c r="H46" s="8"/>
      <c r="I46" s="8"/>
      <c r="J46" s="84"/>
      <c r="K46" s="16"/>
      <c r="L46" s="13"/>
      <c r="M46" s="15"/>
      <c r="N46" s="15"/>
      <c r="O46" s="15"/>
      <c r="P46" s="15"/>
      <c r="Q46" s="15"/>
      <c r="R46" s="15"/>
      <c r="S46" s="15"/>
      <c r="T46" s="15"/>
      <c r="U46" s="16"/>
    </row>
    <row r="47">
      <c r="A47" s="7"/>
      <c r="B47" s="8">
        <v>17.0</v>
      </c>
      <c r="C47" s="14" t="s">
        <v>151</v>
      </c>
      <c r="D47" s="7" t="s">
        <v>56</v>
      </c>
      <c r="E47" s="11"/>
      <c r="F47" s="8" t="s">
        <v>152</v>
      </c>
      <c r="G47" s="8">
        <v>2006.0</v>
      </c>
      <c r="H47" s="8"/>
      <c r="I47" s="8"/>
      <c r="J47" s="84"/>
      <c r="K47" s="16"/>
      <c r="L47" s="13"/>
      <c r="M47" s="15"/>
      <c r="N47" s="15"/>
      <c r="O47" s="15"/>
      <c r="P47" s="15"/>
      <c r="Q47" s="15"/>
      <c r="R47" s="15"/>
      <c r="S47" s="15"/>
      <c r="T47" s="15"/>
      <c r="U47" s="16"/>
    </row>
    <row r="48">
      <c r="A48" s="7"/>
      <c r="B48" s="8">
        <v>18.0</v>
      </c>
      <c r="C48" s="14" t="s">
        <v>153</v>
      </c>
      <c r="D48" s="7" t="s">
        <v>154</v>
      </c>
      <c r="E48" s="11"/>
      <c r="F48" s="8" t="s">
        <v>155</v>
      </c>
      <c r="G48" s="8">
        <v>2006.0</v>
      </c>
      <c r="H48" s="8"/>
      <c r="I48" s="8"/>
      <c r="J48" s="84"/>
      <c r="K48" s="16"/>
      <c r="L48" s="13"/>
      <c r="M48" s="15"/>
      <c r="N48" s="15"/>
      <c r="O48" s="15"/>
      <c r="P48" s="15"/>
      <c r="Q48" s="15"/>
      <c r="R48" s="15"/>
      <c r="S48" s="15"/>
      <c r="T48" s="15"/>
      <c r="U48" s="16"/>
    </row>
    <row r="49">
      <c r="A49" s="41"/>
      <c r="B49" s="86">
        <v>19.0</v>
      </c>
      <c r="C49" s="87" t="s">
        <v>156</v>
      </c>
      <c r="D49" s="88" t="s">
        <v>48</v>
      </c>
      <c r="E49" s="88" t="s">
        <v>32</v>
      </c>
      <c r="F49" s="89" t="s">
        <v>157</v>
      </c>
      <c r="G49" s="89">
        <v>2005.0</v>
      </c>
      <c r="H49" s="89">
        <v>1.0</v>
      </c>
      <c r="I49" s="89">
        <v>1.0</v>
      </c>
      <c r="J49" s="90">
        <v>1.0</v>
      </c>
      <c r="K49" s="91" t="s">
        <v>158</v>
      </c>
      <c r="L49" s="91" t="s">
        <v>159</v>
      </c>
      <c r="M49" s="90" t="s">
        <v>160</v>
      </c>
      <c r="N49" s="90" t="s">
        <v>119</v>
      </c>
      <c r="O49" s="92"/>
      <c r="P49" s="90" t="s">
        <v>161</v>
      </c>
      <c r="Q49" s="92"/>
      <c r="R49" s="92">
        <f>FDIST(43.7,1,75)</f>
        <v>0.00000000493898078</v>
      </c>
      <c r="S49" s="92">
        <f t="shared" ref="S49:S52" si="11">NORMINV(1-R49/2,0,1)</f>
        <v>5.849215093</v>
      </c>
      <c r="T49" s="92">
        <f t="shared" ref="T49:T52" si="12">NORMDIST(S49,1.96,1,TRUE)</f>
        <v>0.9999497155</v>
      </c>
      <c r="U49" s="93"/>
    </row>
    <row r="50">
      <c r="A50" s="41">
        <v>1.0</v>
      </c>
      <c r="B50" s="42">
        <v>19.0</v>
      </c>
      <c r="C50" s="43"/>
      <c r="D50" s="41"/>
      <c r="E50" s="94"/>
      <c r="F50" s="43"/>
      <c r="G50" s="43"/>
      <c r="H50" s="43">
        <v>1.0</v>
      </c>
      <c r="I50" s="43">
        <v>1.0</v>
      </c>
      <c r="J50" s="44">
        <v>2.0</v>
      </c>
      <c r="K50" s="45" t="s">
        <v>162</v>
      </c>
      <c r="L50" s="45" t="s">
        <v>163</v>
      </c>
      <c r="M50" s="44" t="s">
        <v>164</v>
      </c>
      <c r="N50" s="44" t="s">
        <v>119</v>
      </c>
      <c r="O50" s="47"/>
      <c r="P50" s="44" t="s">
        <v>165</v>
      </c>
      <c r="Q50" s="47"/>
      <c r="R50" s="47">
        <f>FDIST(10.55,1,75)</f>
        <v>0.001739337424</v>
      </c>
      <c r="S50" s="47">
        <f t="shared" si="11"/>
        <v>3.131469682</v>
      </c>
      <c r="T50" s="47">
        <f t="shared" si="12"/>
        <v>0.8792949814</v>
      </c>
      <c r="U50" s="50"/>
    </row>
    <row r="51">
      <c r="A51" s="41">
        <v>1.0</v>
      </c>
      <c r="B51" s="42">
        <v>19.0</v>
      </c>
      <c r="C51" s="43"/>
      <c r="D51" s="41"/>
      <c r="E51" s="94"/>
      <c r="F51" s="43"/>
      <c r="G51" s="43"/>
      <c r="H51" s="43">
        <v>2.0</v>
      </c>
      <c r="I51" s="43">
        <v>2.0</v>
      </c>
      <c r="J51" s="44">
        <v>3.0</v>
      </c>
      <c r="K51" s="45" t="s">
        <v>166</v>
      </c>
      <c r="L51" s="45" t="s">
        <v>167</v>
      </c>
      <c r="M51" s="44" t="s">
        <v>168</v>
      </c>
      <c r="N51" s="44" t="s">
        <v>169</v>
      </c>
      <c r="O51" s="47"/>
      <c r="P51" s="44" t="s">
        <v>170</v>
      </c>
      <c r="Q51" s="47"/>
      <c r="R51" s="47">
        <f>FDIST(9.28,1,38)</f>
        <v>0.004197103021</v>
      </c>
      <c r="S51" s="47">
        <f t="shared" si="11"/>
        <v>2.862954899</v>
      </c>
      <c r="T51" s="47">
        <f t="shared" si="12"/>
        <v>0.8167250841</v>
      </c>
      <c r="U51" s="50"/>
    </row>
    <row r="52">
      <c r="A52" s="41"/>
      <c r="B52" s="83">
        <v>19.0</v>
      </c>
      <c r="C52" s="75"/>
      <c r="D52" s="76"/>
      <c r="E52" s="95"/>
      <c r="F52" s="75"/>
      <c r="G52" s="75"/>
      <c r="H52" s="75">
        <v>2.0</v>
      </c>
      <c r="I52" s="75">
        <v>2.0</v>
      </c>
      <c r="J52" s="77">
        <v>3.0</v>
      </c>
      <c r="K52" s="78"/>
      <c r="L52" s="79"/>
      <c r="M52" s="77" t="s">
        <v>171</v>
      </c>
      <c r="N52" s="77" t="s">
        <v>169</v>
      </c>
      <c r="O52" s="80"/>
      <c r="P52" s="77" t="s">
        <v>172</v>
      </c>
      <c r="Q52" s="80"/>
      <c r="R52" s="80">
        <f>FDIST(6.77,1,38)</f>
        <v>0.01314217881</v>
      </c>
      <c r="S52" s="80">
        <f t="shared" si="11"/>
        <v>2.479893072</v>
      </c>
      <c r="T52" s="80">
        <f t="shared" si="12"/>
        <v>0.6984309479</v>
      </c>
      <c r="U52" s="81"/>
    </row>
    <row r="53">
      <c r="A53" s="7"/>
      <c r="B53" s="8">
        <v>20.0</v>
      </c>
      <c r="C53" s="14" t="s">
        <v>173</v>
      </c>
      <c r="D53" s="7" t="s">
        <v>174</v>
      </c>
      <c r="E53" s="11"/>
      <c r="F53" s="8" t="s">
        <v>175</v>
      </c>
      <c r="G53" s="8">
        <v>2004.0</v>
      </c>
      <c r="H53" s="8"/>
      <c r="I53" s="8"/>
      <c r="J53" s="84"/>
      <c r="K53" s="16"/>
      <c r="L53" s="13"/>
      <c r="M53" s="15"/>
      <c r="N53" s="15"/>
      <c r="O53" s="15"/>
      <c r="P53" s="15"/>
      <c r="Q53" s="15"/>
      <c r="R53" s="15"/>
      <c r="S53" s="15"/>
      <c r="T53" s="15"/>
      <c r="U53" s="16"/>
    </row>
    <row r="54">
      <c r="A54" s="41"/>
      <c r="B54" s="86">
        <v>21.0</v>
      </c>
      <c r="C54" s="87" t="s">
        <v>176</v>
      </c>
      <c r="D54" s="88" t="s">
        <v>177</v>
      </c>
      <c r="E54" s="88" t="s">
        <v>32</v>
      </c>
      <c r="F54" s="89" t="s">
        <v>178</v>
      </c>
      <c r="G54" s="89">
        <v>2015.0</v>
      </c>
      <c r="H54" s="89"/>
      <c r="I54" s="89">
        <v>1.0</v>
      </c>
      <c r="J54" s="90">
        <v>5.0</v>
      </c>
      <c r="K54" s="91" t="s">
        <v>179</v>
      </c>
      <c r="L54" s="91" t="s">
        <v>180</v>
      </c>
      <c r="M54" s="90" t="s">
        <v>181</v>
      </c>
      <c r="N54" s="90" t="s">
        <v>169</v>
      </c>
      <c r="O54" s="92"/>
      <c r="P54" s="92"/>
      <c r="Q54" s="90" t="s">
        <v>182</v>
      </c>
      <c r="R54" s="92"/>
      <c r="S54" s="92"/>
      <c r="T54" s="92"/>
      <c r="U54" s="93"/>
    </row>
    <row r="55">
      <c r="A55" s="41"/>
      <c r="B55" s="42">
        <v>21.0</v>
      </c>
      <c r="C55" s="43"/>
      <c r="D55" s="41"/>
      <c r="E55" s="41"/>
      <c r="F55" s="43"/>
      <c r="G55" s="43"/>
      <c r="H55" s="43"/>
      <c r="I55" s="43">
        <v>1.0</v>
      </c>
      <c r="J55" s="44">
        <v>5.0</v>
      </c>
      <c r="K55" s="45"/>
      <c r="L55" s="59"/>
      <c r="M55" s="96" t="s">
        <v>183</v>
      </c>
      <c r="N55" s="44" t="s">
        <v>169</v>
      </c>
      <c r="O55" s="47"/>
      <c r="P55" s="47"/>
      <c r="Q55" s="44" t="s">
        <v>184</v>
      </c>
      <c r="R55" s="47"/>
      <c r="S55" s="47"/>
      <c r="T55" s="47"/>
      <c r="U55" s="50"/>
    </row>
    <row r="56">
      <c r="A56" s="41"/>
      <c r="B56" s="42">
        <v>21.0</v>
      </c>
      <c r="C56" s="43"/>
      <c r="D56" s="41"/>
      <c r="E56" s="41"/>
      <c r="F56" s="43"/>
      <c r="G56" s="43"/>
      <c r="H56" s="43"/>
      <c r="I56" s="43">
        <v>1.0</v>
      </c>
      <c r="J56" s="44">
        <v>5.0</v>
      </c>
      <c r="K56" s="45"/>
      <c r="L56" s="59"/>
      <c r="M56" s="44" t="s">
        <v>185</v>
      </c>
      <c r="N56" s="44" t="s">
        <v>169</v>
      </c>
      <c r="O56" s="47"/>
      <c r="P56" s="47"/>
      <c r="Q56" s="44" t="s">
        <v>186</v>
      </c>
      <c r="R56" s="47"/>
      <c r="S56" s="47"/>
      <c r="T56" s="47"/>
      <c r="U56" s="50"/>
    </row>
    <row r="57">
      <c r="A57" s="41"/>
      <c r="B57" s="42">
        <v>21.0</v>
      </c>
      <c r="C57" s="43"/>
      <c r="D57" s="41"/>
      <c r="E57" s="41"/>
      <c r="F57" s="43"/>
      <c r="G57" s="43"/>
      <c r="H57" s="43"/>
      <c r="I57" s="43">
        <v>1.0</v>
      </c>
      <c r="J57" s="44">
        <v>6.0</v>
      </c>
      <c r="K57" s="45" t="s">
        <v>187</v>
      </c>
      <c r="L57" s="59"/>
      <c r="M57" s="44" t="s">
        <v>188</v>
      </c>
      <c r="N57" s="44" t="s">
        <v>169</v>
      </c>
      <c r="O57" s="47"/>
      <c r="P57" s="47"/>
      <c r="Q57" s="44" t="s">
        <v>189</v>
      </c>
      <c r="R57" s="47"/>
      <c r="S57" s="47"/>
      <c r="T57" s="47"/>
      <c r="U57" s="50"/>
    </row>
    <row r="58">
      <c r="A58" s="41"/>
      <c r="B58" s="42">
        <v>21.0</v>
      </c>
      <c r="C58" s="43"/>
      <c r="D58" s="41"/>
      <c r="E58" s="94"/>
      <c r="F58" s="43"/>
      <c r="G58" s="43"/>
      <c r="H58" s="43"/>
      <c r="I58" s="43">
        <v>1.0</v>
      </c>
      <c r="J58" s="44">
        <v>6.0</v>
      </c>
      <c r="K58" s="45"/>
      <c r="L58" s="59"/>
      <c r="M58" s="44" t="s">
        <v>190</v>
      </c>
      <c r="N58" s="44" t="s">
        <v>169</v>
      </c>
      <c r="O58" s="47"/>
      <c r="P58" s="47"/>
      <c r="Q58" s="44" t="s">
        <v>191</v>
      </c>
      <c r="R58" s="47"/>
      <c r="S58" s="47"/>
      <c r="T58" s="47"/>
      <c r="U58" s="50"/>
    </row>
    <row r="59">
      <c r="A59" s="41"/>
      <c r="B59" s="83">
        <v>21.0</v>
      </c>
      <c r="C59" s="75"/>
      <c r="D59" s="76"/>
      <c r="E59" s="95"/>
      <c r="F59" s="75"/>
      <c r="G59" s="75"/>
      <c r="H59" s="75"/>
      <c r="I59" s="75">
        <v>1.0</v>
      </c>
      <c r="J59" s="77">
        <v>6.0</v>
      </c>
      <c r="K59" s="78"/>
      <c r="L59" s="79"/>
      <c r="M59" s="77" t="s">
        <v>192</v>
      </c>
      <c r="N59" s="77" t="s">
        <v>169</v>
      </c>
      <c r="O59" s="80"/>
      <c r="P59" s="80"/>
      <c r="Q59" s="77" t="s">
        <v>193</v>
      </c>
      <c r="R59" s="80"/>
      <c r="S59" s="80"/>
      <c r="T59" s="80"/>
      <c r="U59" s="81"/>
    </row>
    <row r="60">
      <c r="A60" s="7"/>
      <c r="B60" s="8">
        <v>22.0</v>
      </c>
      <c r="C60" s="14" t="s">
        <v>194</v>
      </c>
      <c r="D60" s="7" t="s">
        <v>174</v>
      </c>
      <c r="E60" s="11"/>
      <c r="F60" s="8" t="s">
        <v>175</v>
      </c>
      <c r="G60" s="8">
        <v>2002.0</v>
      </c>
      <c r="H60" s="8"/>
      <c r="I60" s="8"/>
      <c r="J60" s="84"/>
      <c r="K60" s="16"/>
      <c r="L60" s="13"/>
      <c r="M60" s="15"/>
      <c r="N60" s="15"/>
      <c r="O60" s="15"/>
      <c r="P60" s="15"/>
      <c r="Q60" s="15"/>
      <c r="R60" s="15"/>
      <c r="S60" s="15"/>
      <c r="T60" s="15"/>
      <c r="U60" s="16"/>
    </row>
    <row r="61">
      <c r="A61" s="7"/>
      <c r="B61" s="8">
        <v>23.0</v>
      </c>
      <c r="C61" s="14" t="s">
        <v>195</v>
      </c>
      <c r="D61" s="7" t="s">
        <v>56</v>
      </c>
      <c r="E61" s="11"/>
      <c r="F61" s="8" t="s">
        <v>196</v>
      </c>
      <c r="G61" s="8">
        <v>2007.0</v>
      </c>
      <c r="H61" s="8"/>
      <c r="I61" s="8"/>
      <c r="J61" s="84"/>
      <c r="K61" s="16"/>
      <c r="L61" s="13"/>
      <c r="M61" s="15"/>
      <c r="N61" s="15"/>
      <c r="O61" s="15"/>
      <c r="P61" s="15"/>
      <c r="Q61" s="15"/>
      <c r="R61" s="15"/>
      <c r="S61" s="15"/>
      <c r="T61" s="15"/>
      <c r="U61" s="16"/>
    </row>
    <row r="62">
      <c r="A62" s="41">
        <v>1.0</v>
      </c>
      <c r="B62" s="86">
        <v>24.0</v>
      </c>
      <c r="C62" s="87" t="s">
        <v>197</v>
      </c>
      <c r="D62" s="88" t="s">
        <v>48</v>
      </c>
      <c r="E62" s="88" t="s">
        <v>32</v>
      </c>
      <c r="F62" s="89" t="s">
        <v>198</v>
      </c>
      <c r="G62" s="89">
        <v>2003.0</v>
      </c>
      <c r="H62" s="89">
        <v>1.0</v>
      </c>
      <c r="I62" s="89">
        <v>1.0</v>
      </c>
      <c r="J62" s="90" t="s">
        <v>199</v>
      </c>
      <c r="K62" s="91" t="s">
        <v>200</v>
      </c>
      <c r="L62" s="91" t="s">
        <v>201</v>
      </c>
      <c r="M62" s="90" t="s">
        <v>202</v>
      </c>
      <c r="N62" s="90" t="s">
        <v>119</v>
      </c>
      <c r="O62" s="92"/>
      <c r="P62" s="90" t="s">
        <v>203</v>
      </c>
      <c r="Q62" s="92"/>
      <c r="R62" s="92">
        <f>TDIST(8.44,694,2)</f>
        <v>0</v>
      </c>
      <c r="S62" s="92"/>
      <c r="T62" s="92"/>
      <c r="U62" s="93"/>
    </row>
    <row r="63">
      <c r="A63" s="41"/>
      <c r="B63" s="42">
        <v>24.0</v>
      </c>
      <c r="C63" s="43"/>
      <c r="D63" s="41"/>
      <c r="E63" s="41"/>
      <c r="F63" s="43"/>
      <c r="G63" s="43"/>
      <c r="H63" s="43">
        <v>1.0</v>
      </c>
      <c r="I63" s="43">
        <v>1.0</v>
      </c>
      <c r="J63" s="44"/>
      <c r="K63" s="45"/>
      <c r="L63" s="59"/>
      <c r="M63" s="44" t="s">
        <v>204</v>
      </c>
      <c r="N63" s="44" t="s">
        <v>119</v>
      </c>
      <c r="O63" s="47"/>
      <c r="P63" s="44" t="s">
        <v>205</v>
      </c>
      <c r="Q63" s="47"/>
      <c r="R63" s="47">
        <f>TDIST(6.65,648,2)</f>
        <v>0</v>
      </c>
      <c r="S63" s="47"/>
      <c r="T63" s="47"/>
      <c r="U63" s="50"/>
    </row>
    <row r="64">
      <c r="A64" s="48"/>
      <c r="B64" s="97">
        <v>24.0</v>
      </c>
      <c r="C64" s="49"/>
      <c r="D64" s="48"/>
      <c r="E64" s="48"/>
      <c r="F64" s="49"/>
      <c r="G64" s="49"/>
      <c r="H64" s="49"/>
      <c r="I64" s="49">
        <v>1.0</v>
      </c>
      <c r="J64" s="98" t="s">
        <v>206</v>
      </c>
      <c r="K64" s="53" t="s">
        <v>207</v>
      </c>
      <c r="L64" s="53" t="s">
        <v>208</v>
      </c>
      <c r="M64" s="55"/>
      <c r="N64" s="55"/>
      <c r="O64" s="55"/>
      <c r="P64" s="55"/>
      <c r="Q64" s="55"/>
      <c r="R64" s="55"/>
      <c r="S64" s="55"/>
      <c r="T64" s="55"/>
      <c r="U64" s="99" t="s">
        <v>209</v>
      </c>
    </row>
    <row r="65">
      <c r="A65" s="41"/>
      <c r="B65" s="42">
        <v>24.0</v>
      </c>
      <c r="C65" s="43"/>
      <c r="D65" s="41"/>
      <c r="E65" s="41"/>
      <c r="F65" s="43"/>
      <c r="G65" s="43"/>
      <c r="H65" s="43">
        <v>1.0</v>
      </c>
      <c r="I65" s="43">
        <v>1.0</v>
      </c>
      <c r="J65" s="44" t="s">
        <v>210</v>
      </c>
      <c r="K65" s="45" t="s">
        <v>211</v>
      </c>
      <c r="L65" s="45" t="s">
        <v>212</v>
      </c>
      <c r="M65" s="44" t="s">
        <v>213</v>
      </c>
      <c r="N65" s="44" t="s">
        <v>214</v>
      </c>
      <c r="O65" s="47"/>
      <c r="P65" s="44" t="s">
        <v>215</v>
      </c>
      <c r="Q65" s="47"/>
      <c r="R65" s="47">
        <f>TDIST(2.76,651,2)</f>
        <v>0.005942793283</v>
      </c>
      <c r="S65" s="47">
        <f t="shared" ref="S65:S73" si="13">NORMINV(1-R65/2,0,1)</f>
        <v>2.750921225</v>
      </c>
      <c r="T65" s="47">
        <f t="shared" ref="T65:T73" si="14">NORMDIST(S65,1.96,1,TRUE)</f>
        <v>0.7855050191</v>
      </c>
      <c r="U65" s="50"/>
    </row>
    <row r="66">
      <c r="A66" s="41"/>
      <c r="B66" s="42">
        <v>24.0</v>
      </c>
      <c r="C66" s="43"/>
      <c r="D66" s="41"/>
      <c r="E66" s="41"/>
      <c r="F66" s="43"/>
      <c r="G66" s="43"/>
      <c r="H66" s="43">
        <v>1.0</v>
      </c>
      <c r="I66" s="43">
        <v>1.0</v>
      </c>
      <c r="J66" s="44"/>
      <c r="K66" s="45"/>
      <c r="L66" s="45"/>
      <c r="M66" s="44" t="s">
        <v>216</v>
      </c>
      <c r="N66" s="44" t="s">
        <v>217</v>
      </c>
      <c r="O66" s="47"/>
      <c r="P66" s="47"/>
      <c r="Q66" s="47"/>
      <c r="R66" s="47">
        <f>TDIST(1.11,698,2)</f>
        <v>0.2673812782</v>
      </c>
      <c r="S66" s="47">
        <f t="shared" si="13"/>
        <v>1.10911337</v>
      </c>
      <c r="T66" s="47">
        <f t="shared" si="14"/>
        <v>0.1974161662</v>
      </c>
      <c r="U66" s="50"/>
    </row>
    <row r="67">
      <c r="A67" s="41"/>
      <c r="B67" s="42">
        <v>24.0</v>
      </c>
      <c r="C67" s="43"/>
      <c r="D67" s="41"/>
      <c r="E67" s="41"/>
      <c r="F67" s="43"/>
      <c r="G67" s="43"/>
      <c r="H67" s="43">
        <v>1.0</v>
      </c>
      <c r="I67" s="43">
        <v>1.0</v>
      </c>
      <c r="J67" s="44" t="s">
        <v>218</v>
      </c>
      <c r="K67" s="45" t="s">
        <v>219</v>
      </c>
      <c r="L67" s="45" t="s">
        <v>220</v>
      </c>
      <c r="M67" s="44" t="s">
        <v>221</v>
      </c>
      <c r="N67" s="44" t="s">
        <v>222</v>
      </c>
      <c r="O67" s="47"/>
      <c r="P67" s="44" t="s">
        <v>223</v>
      </c>
      <c r="Q67" s="47"/>
      <c r="R67" s="47">
        <f>TDIST(2.02,706,2)</f>
        <v>0.04376060998</v>
      </c>
      <c r="S67" s="47">
        <f t="shared" si="13"/>
        <v>2.016376605</v>
      </c>
      <c r="T67" s="47">
        <f t="shared" si="14"/>
        <v>0.5224791029</v>
      </c>
      <c r="U67" s="50"/>
    </row>
    <row r="68">
      <c r="A68" s="41"/>
      <c r="B68" s="42">
        <v>24.0</v>
      </c>
      <c r="C68" s="43"/>
      <c r="D68" s="41"/>
      <c r="E68" s="41"/>
      <c r="F68" s="43"/>
      <c r="G68" s="43"/>
      <c r="H68" s="43">
        <v>1.0</v>
      </c>
      <c r="I68" s="43">
        <v>1.0</v>
      </c>
      <c r="J68" s="44"/>
      <c r="K68" s="45"/>
      <c r="L68" s="45"/>
      <c r="M68" s="44" t="s">
        <v>224</v>
      </c>
      <c r="N68" s="44" t="s">
        <v>225</v>
      </c>
      <c r="O68" s="47"/>
      <c r="P68" s="44" t="s">
        <v>226</v>
      </c>
      <c r="Q68" s="47"/>
      <c r="R68" s="47">
        <f>TDIST(1.75,660,2)</f>
        <v>0.08058300908</v>
      </c>
      <c r="S68" s="47">
        <f t="shared" si="13"/>
        <v>1.747313291</v>
      </c>
      <c r="T68" s="47">
        <f t="shared" si="14"/>
        <v>0.4157856672</v>
      </c>
      <c r="U68" s="50"/>
    </row>
    <row r="69">
      <c r="A69" s="41"/>
      <c r="B69" s="42">
        <v>24.0</v>
      </c>
      <c r="C69" s="43"/>
      <c r="D69" s="41"/>
      <c r="E69" s="41"/>
      <c r="F69" s="43"/>
      <c r="G69" s="43"/>
      <c r="H69" s="43">
        <v>1.0</v>
      </c>
      <c r="I69" s="43">
        <v>1.0</v>
      </c>
      <c r="J69" s="44">
        <v>2.0</v>
      </c>
      <c r="K69" s="45" t="s">
        <v>227</v>
      </c>
      <c r="L69" s="45" t="s">
        <v>228</v>
      </c>
      <c r="M69" s="44" t="s">
        <v>229</v>
      </c>
      <c r="N69" s="44" t="s">
        <v>214</v>
      </c>
      <c r="O69" s="47"/>
      <c r="P69" s="47"/>
      <c r="Q69" s="47"/>
      <c r="R69" s="47">
        <f>FDIST(9.75,2,759)</f>
        <v>0.00006593391095</v>
      </c>
      <c r="S69" s="47">
        <f t="shared" si="13"/>
        <v>3.990500855</v>
      </c>
      <c r="T69" s="47">
        <f t="shared" si="14"/>
        <v>0.9788471728</v>
      </c>
      <c r="U69" s="50"/>
    </row>
    <row r="70">
      <c r="A70" s="41"/>
      <c r="B70" s="42">
        <v>24.0</v>
      </c>
      <c r="C70" s="43"/>
      <c r="D70" s="41"/>
      <c r="E70" s="41"/>
      <c r="F70" s="43"/>
      <c r="G70" s="43"/>
      <c r="H70" s="43">
        <v>1.0</v>
      </c>
      <c r="I70" s="43">
        <v>1.0</v>
      </c>
      <c r="J70" s="44"/>
      <c r="K70" s="45"/>
      <c r="L70" s="45"/>
      <c r="M70" s="44" t="s">
        <v>230</v>
      </c>
      <c r="N70" s="44" t="s">
        <v>231</v>
      </c>
      <c r="O70" s="47"/>
      <c r="P70" s="47"/>
      <c r="Q70" s="47"/>
      <c r="R70" s="47">
        <f>FDIST(0.453,2,761)</f>
        <v>0.6358894466</v>
      </c>
      <c r="S70" s="47">
        <f t="shared" si="13"/>
        <v>0.4734538114</v>
      </c>
      <c r="T70" s="47">
        <f t="shared" si="14"/>
        <v>0.06856735458</v>
      </c>
      <c r="U70" s="50"/>
    </row>
    <row r="71">
      <c r="A71" s="41"/>
      <c r="B71" s="42">
        <v>24.0</v>
      </c>
      <c r="C71" s="43"/>
      <c r="D71" s="41"/>
      <c r="E71" s="41"/>
      <c r="F71" s="43"/>
      <c r="G71" s="43"/>
      <c r="H71" s="43">
        <v>1.0</v>
      </c>
      <c r="I71" s="43">
        <v>1.0</v>
      </c>
      <c r="J71" s="44"/>
      <c r="K71" s="45"/>
      <c r="L71" s="45"/>
      <c r="M71" s="44" t="s">
        <v>232</v>
      </c>
      <c r="N71" s="44" t="s">
        <v>233</v>
      </c>
      <c r="O71" s="47"/>
      <c r="P71" s="47"/>
      <c r="Q71" s="47"/>
      <c r="R71" s="47">
        <f>FDIST(1.874,2,756)</f>
        <v>0.1542207968</v>
      </c>
      <c r="S71" s="47">
        <f t="shared" si="13"/>
        <v>1.424780031</v>
      </c>
      <c r="T71" s="47">
        <f t="shared" si="14"/>
        <v>0.2962488797</v>
      </c>
      <c r="U71" s="50"/>
    </row>
    <row r="72">
      <c r="A72" s="41"/>
      <c r="B72" s="42">
        <v>24.0</v>
      </c>
      <c r="C72" s="43"/>
      <c r="D72" s="41"/>
      <c r="E72" s="41"/>
      <c r="F72" s="43"/>
      <c r="G72" s="43"/>
      <c r="H72" s="43">
        <v>1.0</v>
      </c>
      <c r="I72" s="43">
        <v>1.0</v>
      </c>
      <c r="J72" s="44"/>
      <c r="K72" s="45"/>
      <c r="L72" s="45"/>
      <c r="M72" s="44" t="s">
        <v>234</v>
      </c>
      <c r="N72" s="44" t="s">
        <v>235</v>
      </c>
      <c r="O72" s="47"/>
      <c r="P72" s="47"/>
      <c r="Q72" s="47"/>
      <c r="R72" s="47">
        <f>FDIST(0.12,2,756)</f>
        <v>0.886937327</v>
      </c>
      <c r="S72" s="47">
        <f t="shared" si="13"/>
        <v>0.1421806355</v>
      </c>
      <c r="T72" s="47">
        <f t="shared" si="14"/>
        <v>0.03454587296</v>
      </c>
      <c r="U72" s="50"/>
    </row>
    <row r="73">
      <c r="A73" s="41"/>
      <c r="B73" s="83">
        <v>24.0</v>
      </c>
      <c r="C73" s="75"/>
      <c r="D73" s="76"/>
      <c r="E73" s="76"/>
      <c r="F73" s="75"/>
      <c r="G73" s="75"/>
      <c r="H73" s="75">
        <v>1.0</v>
      </c>
      <c r="I73" s="75">
        <v>1.0</v>
      </c>
      <c r="J73" s="77">
        <v>3.0</v>
      </c>
      <c r="K73" s="78" t="s">
        <v>236</v>
      </c>
      <c r="L73" s="78" t="s">
        <v>237</v>
      </c>
      <c r="M73" s="77" t="s">
        <v>238</v>
      </c>
      <c r="N73" s="77" t="s">
        <v>239</v>
      </c>
      <c r="O73" s="80"/>
      <c r="P73" s="80"/>
      <c r="Q73" s="80"/>
      <c r="R73" s="80">
        <f>FDIST(3.12,2,532)</f>
        <v>0.04496620422</v>
      </c>
      <c r="S73" s="80">
        <f t="shared" si="13"/>
        <v>2.004970469</v>
      </c>
      <c r="T73" s="80">
        <f t="shared" si="14"/>
        <v>0.5179345762</v>
      </c>
      <c r="U73" s="81"/>
    </row>
    <row r="74">
      <c r="A74" s="7"/>
      <c r="B74" s="8">
        <v>25.0</v>
      </c>
      <c r="C74" s="14" t="s">
        <v>240</v>
      </c>
      <c r="D74" s="7" t="s">
        <v>241</v>
      </c>
      <c r="E74" s="7"/>
      <c r="F74" s="8" t="s">
        <v>242</v>
      </c>
      <c r="G74" s="8">
        <v>2017.0</v>
      </c>
      <c r="H74" s="8"/>
      <c r="I74" s="8"/>
      <c r="J74" s="84"/>
      <c r="K74" s="16"/>
      <c r="L74" s="13"/>
      <c r="M74" s="15"/>
      <c r="N74" s="15"/>
      <c r="O74" s="15"/>
      <c r="P74" s="15"/>
      <c r="Q74" s="15"/>
      <c r="R74" s="15"/>
      <c r="S74" s="15"/>
      <c r="T74" s="15"/>
      <c r="U74" s="16"/>
    </row>
    <row r="75">
      <c r="A75" s="7"/>
      <c r="B75" s="8">
        <v>26.0</v>
      </c>
      <c r="C75" s="14" t="s">
        <v>243</v>
      </c>
      <c r="D75" s="7" t="s">
        <v>56</v>
      </c>
      <c r="E75" s="11"/>
      <c r="F75" s="8" t="s">
        <v>244</v>
      </c>
      <c r="G75" s="8">
        <v>2003.0</v>
      </c>
      <c r="H75" s="8"/>
      <c r="I75" s="8"/>
      <c r="J75" s="84"/>
      <c r="K75" s="16"/>
      <c r="L75" s="13"/>
      <c r="M75" s="15"/>
      <c r="N75" s="15"/>
      <c r="O75" s="15"/>
      <c r="P75" s="15"/>
      <c r="Q75" s="15"/>
      <c r="R75" s="15"/>
      <c r="S75" s="15"/>
      <c r="T75" s="15"/>
      <c r="U75" s="16"/>
    </row>
    <row r="76">
      <c r="A76" s="7"/>
      <c r="B76" s="8">
        <v>27.0</v>
      </c>
      <c r="C76" s="14" t="s">
        <v>245</v>
      </c>
      <c r="D76" s="7" t="s">
        <v>246</v>
      </c>
      <c r="E76" s="11"/>
      <c r="F76" s="8" t="s">
        <v>247</v>
      </c>
      <c r="G76" s="8">
        <v>2000.0</v>
      </c>
      <c r="H76" s="8"/>
      <c r="I76" s="8"/>
      <c r="J76" s="84"/>
      <c r="K76" s="16"/>
      <c r="L76" s="13"/>
      <c r="M76" s="15"/>
      <c r="N76" s="15"/>
      <c r="O76" s="15"/>
      <c r="P76" s="15"/>
      <c r="Q76" s="15"/>
      <c r="R76" s="15"/>
      <c r="S76" s="15"/>
      <c r="T76" s="15"/>
      <c r="U76" s="16"/>
    </row>
    <row r="77">
      <c r="A77" s="7"/>
      <c r="B77" s="8">
        <v>28.0</v>
      </c>
      <c r="C77" s="14" t="s">
        <v>248</v>
      </c>
      <c r="D77" s="7" t="s">
        <v>146</v>
      </c>
      <c r="E77" s="11"/>
      <c r="F77" s="8" t="s">
        <v>249</v>
      </c>
      <c r="G77" s="8">
        <v>2003.0</v>
      </c>
      <c r="H77" s="8"/>
      <c r="I77" s="8"/>
      <c r="J77" s="84"/>
      <c r="K77" s="16"/>
      <c r="L77" s="13"/>
      <c r="M77" s="15"/>
      <c r="N77" s="15"/>
      <c r="O77" s="15"/>
      <c r="P77" s="15"/>
      <c r="Q77" s="15"/>
      <c r="R77" s="15"/>
      <c r="S77" s="15"/>
      <c r="T77" s="15"/>
      <c r="U77" s="16"/>
    </row>
    <row r="78">
      <c r="A78" s="7"/>
      <c r="B78" s="8">
        <v>29.0</v>
      </c>
      <c r="C78" s="14" t="s">
        <v>250</v>
      </c>
      <c r="D78" s="7" t="s">
        <v>241</v>
      </c>
      <c r="E78" s="11"/>
      <c r="F78" s="8" t="s">
        <v>251</v>
      </c>
      <c r="G78" s="8">
        <v>2011.0</v>
      </c>
      <c r="H78" s="8"/>
      <c r="I78" s="8"/>
      <c r="J78" s="84"/>
      <c r="K78" s="16"/>
      <c r="L78" s="13"/>
      <c r="M78" s="15"/>
      <c r="N78" s="15"/>
      <c r="O78" s="15"/>
      <c r="P78" s="15"/>
      <c r="Q78" s="15"/>
      <c r="R78" s="15"/>
      <c r="S78" s="15"/>
      <c r="T78" s="15"/>
      <c r="U78" s="16"/>
    </row>
    <row r="79">
      <c r="A79" s="7"/>
      <c r="B79" s="8">
        <v>30.0</v>
      </c>
      <c r="C79" s="14" t="s">
        <v>252</v>
      </c>
      <c r="D79" s="7" t="s">
        <v>22</v>
      </c>
      <c r="E79" s="11"/>
      <c r="F79" s="8" t="s">
        <v>253</v>
      </c>
      <c r="G79" s="8">
        <v>2014.0</v>
      </c>
      <c r="H79" s="8"/>
      <c r="I79" s="8"/>
      <c r="J79" s="84"/>
      <c r="K79" s="16"/>
      <c r="L79" s="13"/>
      <c r="M79" s="15"/>
      <c r="N79" s="15"/>
      <c r="O79" s="15"/>
      <c r="P79" s="15"/>
      <c r="Q79" s="15"/>
      <c r="R79" s="15"/>
      <c r="S79" s="15"/>
      <c r="T79" s="15"/>
      <c r="U79" s="16"/>
    </row>
    <row r="80">
      <c r="A80" s="41">
        <v>1.0</v>
      </c>
      <c r="B80" s="86">
        <v>31.0</v>
      </c>
      <c r="C80" s="87" t="s">
        <v>254</v>
      </c>
      <c r="D80" s="88" t="s">
        <v>48</v>
      </c>
      <c r="E80" s="88" t="s">
        <v>32</v>
      </c>
      <c r="F80" s="89" t="s">
        <v>255</v>
      </c>
      <c r="G80" s="89">
        <v>2001.0</v>
      </c>
      <c r="H80" s="89">
        <v>1.0</v>
      </c>
      <c r="I80" s="89">
        <v>1.0</v>
      </c>
      <c r="J80" s="90" t="s">
        <v>256</v>
      </c>
      <c r="K80" s="91" t="s">
        <v>257</v>
      </c>
      <c r="L80" s="91" t="s">
        <v>258</v>
      </c>
      <c r="M80" s="90" t="s">
        <v>259</v>
      </c>
      <c r="N80" s="90" t="s">
        <v>169</v>
      </c>
      <c r="O80" s="92"/>
      <c r="P80" s="92"/>
      <c r="Q80" s="92"/>
      <c r="R80" s="92"/>
      <c r="S80" s="92"/>
      <c r="T80" s="92"/>
      <c r="U80" s="40" t="s">
        <v>260</v>
      </c>
    </row>
    <row r="81">
      <c r="A81" s="41"/>
      <c r="B81" s="42">
        <v>31.0</v>
      </c>
      <c r="C81" s="43"/>
      <c r="D81" s="41"/>
      <c r="E81" s="41"/>
      <c r="F81" s="43"/>
      <c r="G81" s="43"/>
      <c r="H81" s="43">
        <v>1.0</v>
      </c>
      <c r="I81" s="43">
        <v>1.0</v>
      </c>
      <c r="J81" s="47"/>
      <c r="K81" s="43"/>
      <c r="L81" s="45"/>
      <c r="M81" s="44" t="s">
        <v>261</v>
      </c>
      <c r="N81" s="44" t="s">
        <v>262</v>
      </c>
      <c r="O81" s="47"/>
      <c r="P81" s="47"/>
      <c r="Q81" s="47"/>
      <c r="R81" s="47"/>
      <c r="S81" s="47"/>
      <c r="T81" s="47"/>
      <c r="U81" s="67"/>
    </row>
    <row r="82">
      <c r="A82" s="68">
        <v>1.0</v>
      </c>
      <c r="B82" s="69">
        <v>31.0</v>
      </c>
      <c r="C82" s="70"/>
      <c r="D82" s="68"/>
      <c r="E82" s="68"/>
      <c r="F82" s="70"/>
      <c r="G82" s="70"/>
      <c r="H82" s="70">
        <v>2.0</v>
      </c>
      <c r="I82" s="70">
        <v>2.0</v>
      </c>
      <c r="J82" s="71">
        <v>1.0</v>
      </c>
      <c r="K82" s="61" t="s">
        <v>263</v>
      </c>
      <c r="L82" s="61" t="s">
        <v>264</v>
      </c>
      <c r="M82" s="71" t="s">
        <v>265</v>
      </c>
      <c r="N82" s="71" t="s">
        <v>266</v>
      </c>
      <c r="O82" s="72"/>
      <c r="P82" s="71" t="s">
        <v>267</v>
      </c>
      <c r="Q82" s="72"/>
      <c r="R82" s="72">
        <f>FDIST(3.82,1,39)</f>
        <v>0.05784053462</v>
      </c>
      <c r="S82" s="72">
        <f>NORMINV(1-R82/2,0,1)</f>
        <v>1.896904565</v>
      </c>
      <c r="T82" s="72">
        <f>NORMDIST(S82,1.96,1,TRUE)</f>
        <v>0.4748452547</v>
      </c>
      <c r="U82" s="73" t="s">
        <v>268</v>
      </c>
    </row>
    <row r="83">
      <c r="A83" s="41"/>
      <c r="B83" s="42">
        <v>31.0</v>
      </c>
      <c r="C83" s="43"/>
      <c r="D83" s="41"/>
      <c r="E83" s="41"/>
      <c r="F83" s="43"/>
      <c r="G83" s="43"/>
      <c r="H83" s="43"/>
      <c r="I83" s="43">
        <v>2.0</v>
      </c>
      <c r="J83" s="44">
        <v>2.0</v>
      </c>
      <c r="K83" s="45" t="s">
        <v>269</v>
      </c>
      <c r="L83" s="45" t="s">
        <v>270</v>
      </c>
      <c r="M83" s="47"/>
      <c r="N83" s="47"/>
      <c r="O83" s="47"/>
      <c r="P83" s="47"/>
      <c r="Q83" s="47"/>
      <c r="R83" s="47"/>
      <c r="S83" s="47"/>
      <c r="T83" s="47"/>
      <c r="U83" s="67" t="s">
        <v>271</v>
      </c>
    </row>
    <row r="84">
      <c r="A84" s="41">
        <v>1.0</v>
      </c>
      <c r="B84" s="83">
        <v>31.0</v>
      </c>
      <c r="C84" s="75"/>
      <c r="D84" s="76"/>
      <c r="E84" s="76"/>
      <c r="F84" s="75"/>
      <c r="G84" s="75"/>
      <c r="H84" s="75">
        <v>3.0</v>
      </c>
      <c r="I84" s="75">
        <v>3.0</v>
      </c>
      <c r="J84" s="77">
        <v>1.0</v>
      </c>
      <c r="K84" s="78" t="s">
        <v>272</v>
      </c>
      <c r="L84" s="78" t="s">
        <v>273</v>
      </c>
      <c r="M84" s="100" t="s">
        <v>274</v>
      </c>
      <c r="N84" s="77" t="s">
        <v>275</v>
      </c>
      <c r="O84" s="80"/>
      <c r="P84" s="80"/>
      <c r="Q84" s="80"/>
      <c r="R84" s="80">
        <f>FDIST(1,1,39)</f>
        <v>0.3234749452</v>
      </c>
      <c r="S84" s="80"/>
      <c r="T84" s="80"/>
      <c r="U84" s="64"/>
      <c r="V84" s="101"/>
    </row>
    <row r="85">
      <c r="A85" s="7"/>
      <c r="B85" s="82"/>
      <c r="C85" s="8"/>
      <c r="D85" s="7"/>
      <c r="E85" s="7"/>
      <c r="F85" s="8"/>
      <c r="G85" s="8"/>
      <c r="H85" s="8"/>
      <c r="I85" s="8"/>
      <c r="J85" s="84"/>
      <c r="K85" s="16"/>
      <c r="L85" s="16"/>
      <c r="M85" s="84"/>
      <c r="N85" s="84"/>
      <c r="O85" s="15"/>
      <c r="P85" s="84"/>
      <c r="Q85" s="15"/>
      <c r="R85" s="15"/>
      <c r="S85" s="15"/>
      <c r="T85" s="15"/>
      <c r="U85" s="102"/>
    </row>
    <row r="86">
      <c r="A86" s="41">
        <v>1.0</v>
      </c>
      <c r="B86" s="86">
        <v>32.0</v>
      </c>
      <c r="C86" s="87" t="s">
        <v>276</v>
      </c>
      <c r="D86" s="88" t="s">
        <v>48</v>
      </c>
      <c r="E86" s="88" t="s">
        <v>32</v>
      </c>
      <c r="F86" s="89" t="s">
        <v>277</v>
      </c>
      <c r="G86" s="89">
        <v>2004.0</v>
      </c>
      <c r="H86" s="89">
        <v>1.0</v>
      </c>
      <c r="I86" s="89">
        <v>1.0</v>
      </c>
      <c r="J86" s="90">
        <v>1.0</v>
      </c>
      <c r="K86" s="91" t="s">
        <v>278</v>
      </c>
      <c r="L86" s="91" t="s">
        <v>279</v>
      </c>
      <c r="M86" s="90" t="s">
        <v>280</v>
      </c>
      <c r="N86" s="90" t="s">
        <v>119</v>
      </c>
      <c r="O86" s="92"/>
      <c r="P86" s="90" t="s">
        <v>281</v>
      </c>
      <c r="Q86" s="92"/>
      <c r="R86" s="92">
        <f>FDIST(75.49,1,102)</f>
        <v>0</v>
      </c>
      <c r="S86" s="92">
        <f t="shared" ref="S86:S89" si="15">NORMINV(1-R86/2,0,1)</f>
        <v>7.49927679</v>
      </c>
      <c r="T86" s="92">
        <f t="shared" ref="T86:T89" si="16">NORMDIST(S86,1.96,1,TRUE)</f>
        <v>0.9999999848</v>
      </c>
      <c r="U86" s="50" t="s">
        <v>282</v>
      </c>
    </row>
    <row r="87">
      <c r="A87" s="41"/>
      <c r="B87" s="42">
        <v>32.0</v>
      </c>
      <c r="C87" s="43"/>
      <c r="D87" s="41"/>
      <c r="E87" s="41"/>
      <c r="F87" s="43"/>
      <c r="G87" s="43"/>
      <c r="H87" s="43">
        <v>1.0</v>
      </c>
      <c r="I87" s="43">
        <v>1.0</v>
      </c>
      <c r="J87" s="44">
        <v>2.0</v>
      </c>
      <c r="K87" s="45"/>
      <c r="L87" s="45" t="s">
        <v>283</v>
      </c>
      <c r="M87" s="44" t="s">
        <v>284</v>
      </c>
      <c r="N87" s="44" t="s">
        <v>119</v>
      </c>
      <c r="O87" s="47"/>
      <c r="P87" s="44" t="s">
        <v>285</v>
      </c>
      <c r="Q87" s="47"/>
      <c r="R87" s="47">
        <f>FDIST(10.57,1,102)</f>
        <v>0.001558046754</v>
      </c>
      <c r="S87" s="47">
        <f t="shared" si="15"/>
        <v>3.163648812</v>
      </c>
      <c r="T87" s="47">
        <f t="shared" si="16"/>
        <v>0.8856373276</v>
      </c>
      <c r="U87" s="50"/>
    </row>
    <row r="88">
      <c r="A88" s="41"/>
      <c r="B88" s="42">
        <v>32.0</v>
      </c>
      <c r="C88" s="43"/>
      <c r="D88" s="41"/>
      <c r="E88" s="41"/>
      <c r="F88" s="43"/>
      <c r="G88" s="43"/>
      <c r="H88" s="43">
        <v>1.0</v>
      </c>
      <c r="I88" s="43">
        <v>1.0</v>
      </c>
      <c r="J88" s="44">
        <v>3.0</v>
      </c>
      <c r="K88" s="45"/>
      <c r="L88" s="45" t="s">
        <v>286</v>
      </c>
      <c r="M88" s="44" t="s">
        <v>287</v>
      </c>
      <c r="N88" s="44" t="s">
        <v>119</v>
      </c>
      <c r="O88" s="47"/>
      <c r="P88" s="44" t="s">
        <v>288</v>
      </c>
      <c r="Q88" s="47"/>
      <c r="R88" s="47">
        <f>FDIST(11.24,1,102)</f>
        <v>0.001124136148</v>
      </c>
      <c r="S88" s="47">
        <f t="shared" si="15"/>
        <v>3.257461223</v>
      </c>
      <c r="T88" s="47">
        <f t="shared" si="16"/>
        <v>0.9027637305</v>
      </c>
      <c r="U88" s="50"/>
    </row>
    <row r="89">
      <c r="A89" s="41"/>
      <c r="B89" s="83">
        <v>32.0</v>
      </c>
      <c r="C89" s="75"/>
      <c r="D89" s="76"/>
      <c r="E89" s="76"/>
      <c r="F89" s="75"/>
      <c r="G89" s="75"/>
      <c r="H89" s="75">
        <v>1.0</v>
      </c>
      <c r="I89" s="75">
        <v>1.0</v>
      </c>
      <c r="J89" s="77">
        <v>4.0</v>
      </c>
      <c r="K89" s="78"/>
      <c r="L89" s="79"/>
      <c r="M89" s="77" t="s">
        <v>289</v>
      </c>
      <c r="N89" s="77" t="s">
        <v>119</v>
      </c>
      <c r="O89" s="80"/>
      <c r="P89" s="77" t="s">
        <v>290</v>
      </c>
      <c r="Q89" s="80"/>
      <c r="R89" s="80">
        <f>FDIST(17.43,1,102)</f>
        <v>0.00006288815219</v>
      </c>
      <c r="S89" s="80">
        <f t="shared" si="15"/>
        <v>4.001703206</v>
      </c>
      <c r="T89" s="80">
        <f t="shared" si="16"/>
        <v>0.9794095097</v>
      </c>
      <c r="U89" s="81"/>
    </row>
    <row r="90">
      <c r="A90" s="7"/>
      <c r="B90" s="8"/>
      <c r="C90" s="8"/>
      <c r="D90" s="7"/>
      <c r="E90" s="7"/>
      <c r="F90" s="8"/>
      <c r="G90" s="8"/>
      <c r="H90" s="8"/>
      <c r="I90" s="8"/>
      <c r="J90" s="84"/>
      <c r="K90" s="16"/>
      <c r="L90" s="16"/>
      <c r="M90" s="84"/>
      <c r="N90" s="84"/>
      <c r="O90" s="15"/>
      <c r="P90" s="84"/>
      <c r="Q90" s="15"/>
      <c r="R90" s="15"/>
      <c r="S90" s="15"/>
      <c r="T90" s="15"/>
      <c r="U90" s="16"/>
    </row>
    <row r="91">
      <c r="A91" s="41">
        <v>1.0</v>
      </c>
      <c r="B91" s="86">
        <v>33.0</v>
      </c>
      <c r="C91" s="87" t="s">
        <v>291</v>
      </c>
      <c r="D91" s="88" t="s">
        <v>48</v>
      </c>
      <c r="E91" s="88" t="s">
        <v>32</v>
      </c>
      <c r="F91" s="89" t="s">
        <v>292</v>
      </c>
      <c r="G91" s="89">
        <v>2004.0</v>
      </c>
      <c r="H91" s="89">
        <v>1.0</v>
      </c>
      <c r="I91" s="89">
        <v>1.0</v>
      </c>
      <c r="J91" s="90">
        <v>1.0</v>
      </c>
      <c r="K91" s="91" t="s">
        <v>293</v>
      </c>
      <c r="L91" s="91" t="s">
        <v>294</v>
      </c>
      <c r="M91" s="90" t="s">
        <v>295</v>
      </c>
      <c r="N91" s="90" t="s">
        <v>296</v>
      </c>
      <c r="O91" s="92"/>
      <c r="P91" s="90" t="s">
        <v>297</v>
      </c>
      <c r="Q91" s="92"/>
      <c r="R91" s="92">
        <f>FDIST(24.89,2,189)</f>
        <v>0.0000000002540003763</v>
      </c>
      <c r="S91" s="92">
        <f t="shared" ref="S91:S95" si="17">NORMINV(1-R91/2,0,1)</f>
        <v>6.324532506</v>
      </c>
      <c r="T91" s="92">
        <f t="shared" ref="T91:T95" si="18">NORMDIST(S91,1.96,1,TRUE)</f>
        <v>0.9999936303</v>
      </c>
      <c r="U91" s="93"/>
    </row>
    <row r="92">
      <c r="A92" s="22"/>
      <c r="B92" s="74">
        <v>33.0</v>
      </c>
      <c r="C92" s="62"/>
      <c r="D92" s="22"/>
      <c r="E92" s="22"/>
      <c r="F92" s="62"/>
      <c r="G92" s="62"/>
      <c r="H92" s="62"/>
      <c r="I92" s="62">
        <v>1.0</v>
      </c>
      <c r="J92" s="63">
        <v>2.0</v>
      </c>
      <c r="K92" s="64" t="s">
        <v>298</v>
      </c>
      <c r="L92" s="65"/>
      <c r="M92" s="66"/>
      <c r="N92" s="66"/>
      <c r="O92" s="66"/>
      <c r="P92" s="66"/>
      <c r="Q92" s="66"/>
      <c r="R92" s="66"/>
      <c r="S92" s="66" t="str">
        <f t="shared" si="17"/>
        <v>#NUM!</v>
      </c>
      <c r="T92" s="66" t="str">
        <f t="shared" si="18"/>
        <v>#NUM!</v>
      </c>
      <c r="U92" s="67"/>
    </row>
    <row r="93">
      <c r="A93" s="41"/>
      <c r="B93" s="42">
        <v>33.0</v>
      </c>
      <c r="C93" s="43"/>
      <c r="D93" s="41"/>
      <c r="E93" s="41"/>
      <c r="F93" s="43"/>
      <c r="G93" s="43"/>
      <c r="H93" s="43">
        <v>1.0</v>
      </c>
      <c r="I93" s="43">
        <v>1.0</v>
      </c>
      <c r="J93" s="103">
        <v>3.0</v>
      </c>
      <c r="K93" s="45" t="s">
        <v>299</v>
      </c>
      <c r="L93" s="45" t="s">
        <v>300</v>
      </c>
      <c r="M93" s="96" t="s">
        <v>301</v>
      </c>
      <c r="N93" s="44" t="s">
        <v>296</v>
      </c>
      <c r="O93" s="47"/>
      <c r="P93" s="44" t="s">
        <v>302</v>
      </c>
      <c r="Q93" s="47"/>
      <c r="R93" s="47">
        <f>FDIST(16.05,2,180)</f>
        <v>0.0000003853588105</v>
      </c>
      <c r="S93" s="47">
        <f t="shared" si="17"/>
        <v>5.076051543</v>
      </c>
      <c r="T93" s="47">
        <f t="shared" si="18"/>
        <v>0.9990835488</v>
      </c>
      <c r="U93" s="50"/>
    </row>
    <row r="94">
      <c r="A94" s="22"/>
      <c r="B94" s="74">
        <v>33.0</v>
      </c>
      <c r="C94" s="62"/>
      <c r="D94" s="22"/>
      <c r="E94" s="22"/>
      <c r="F94" s="62"/>
      <c r="G94" s="62"/>
      <c r="H94" s="62"/>
      <c r="I94" s="62">
        <v>1.0</v>
      </c>
      <c r="J94" s="63">
        <v>4.0</v>
      </c>
      <c r="K94" s="64" t="s">
        <v>303</v>
      </c>
      <c r="L94" s="64" t="s">
        <v>304</v>
      </c>
      <c r="M94" s="66"/>
      <c r="N94" s="66"/>
      <c r="O94" s="66"/>
      <c r="P94" s="66"/>
      <c r="Q94" s="66"/>
      <c r="R94" s="66"/>
      <c r="S94" s="66" t="str">
        <f t="shared" si="17"/>
        <v>#NUM!</v>
      </c>
      <c r="T94" s="66" t="str">
        <f t="shared" si="18"/>
        <v>#NUM!</v>
      </c>
      <c r="U94" s="67"/>
    </row>
    <row r="95">
      <c r="A95" s="22"/>
      <c r="B95" s="104">
        <v>33.0</v>
      </c>
      <c r="C95" s="105"/>
      <c r="D95" s="106"/>
      <c r="E95" s="106"/>
      <c r="F95" s="105"/>
      <c r="G95" s="105"/>
      <c r="H95" s="105"/>
      <c r="I95" s="105">
        <v>1.0</v>
      </c>
      <c r="J95" s="107">
        <v>4.0</v>
      </c>
      <c r="K95" s="108" t="s">
        <v>305</v>
      </c>
      <c r="L95" s="109"/>
      <c r="M95" s="110"/>
      <c r="N95" s="110"/>
      <c r="O95" s="110"/>
      <c r="P95" s="110"/>
      <c r="Q95" s="110"/>
      <c r="R95" s="110"/>
      <c r="S95" s="110" t="str">
        <f t="shared" si="17"/>
        <v>#NUM!</v>
      </c>
      <c r="T95" s="110" t="str">
        <f t="shared" si="18"/>
        <v>#NUM!</v>
      </c>
      <c r="U95" s="111"/>
    </row>
    <row r="96">
      <c r="A96" s="7"/>
      <c r="B96" s="8">
        <v>34.0</v>
      </c>
      <c r="C96" s="14" t="s">
        <v>306</v>
      </c>
      <c r="D96" s="7" t="s">
        <v>307</v>
      </c>
      <c r="E96" s="7"/>
      <c r="F96" s="8" t="s">
        <v>308</v>
      </c>
      <c r="G96" s="8">
        <v>2018.0</v>
      </c>
      <c r="H96" s="8"/>
      <c r="I96" s="8"/>
      <c r="J96" s="84"/>
      <c r="K96" s="16"/>
      <c r="L96" s="13"/>
      <c r="M96" s="15"/>
      <c r="N96" s="15"/>
      <c r="O96" s="15"/>
      <c r="P96" s="15"/>
      <c r="Q96" s="15"/>
      <c r="R96" s="15"/>
      <c r="S96" s="15"/>
      <c r="T96" s="15"/>
      <c r="U96" s="16"/>
    </row>
    <row r="97">
      <c r="A97" s="7"/>
      <c r="B97" s="8">
        <v>35.0</v>
      </c>
      <c r="C97" s="14" t="s">
        <v>309</v>
      </c>
      <c r="D97" s="11"/>
      <c r="E97" s="11"/>
      <c r="F97" s="8" t="s">
        <v>310</v>
      </c>
      <c r="G97" s="8">
        <v>2002.0</v>
      </c>
      <c r="H97" s="8"/>
      <c r="I97" s="8"/>
      <c r="J97" s="84"/>
      <c r="K97" s="16"/>
      <c r="L97" s="13"/>
      <c r="M97" s="15"/>
      <c r="N97" s="15"/>
      <c r="O97" s="15"/>
      <c r="P97" s="15"/>
      <c r="Q97" s="15"/>
      <c r="R97" s="15"/>
      <c r="S97" s="15"/>
      <c r="T97" s="15"/>
      <c r="U97" s="16"/>
    </row>
    <row r="98">
      <c r="A98" s="7"/>
      <c r="B98" s="8">
        <v>36.0</v>
      </c>
      <c r="C98" s="14" t="s">
        <v>311</v>
      </c>
      <c r="D98" s="7" t="s">
        <v>45</v>
      </c>
      <c r="E98" s="11"/>
      <c r="F98" s="8" t="s">
        <v>312</v>
      </c>
      <c r="G98" s="8">
        <v>2005.0</v>
      </c>
      <c r="H98" s="8"/>
      <c r="I98" s="8"/>
      <c r="J98" s="84"/>
      <c r="K98" s="16"/>
      <c r="L98" s="13"/>
      <c r="M98" s="15"/>
      <c r="N98" s="15"/>
      <c r="O98" s="15"/>
      <c r="P98" s="15"/>
      <c r="Q98" s="15"/>
      <c r="R98" s="15"/>
      <c r="S98" s="15"/>
      <c r="T98" s="15"/>
      <c r="U98" s="16"/>
    </row>
    <row r="99">
      <c r="A99" s="7"/>
      <c r="B99" s="8">
        <v>37.0</v>
      </c>
      <c r="C99" s="14" t="s">
        <v>313</v>
      </c>
      <c r="D99" s="7" t="s">
        <v>149</v>
      </c>
      <c r="E99" s="11"/>
      <c r="F99" s="8" t="s">
        <v>314</v>
      </c>
      <c r="G99" s="8">
        <v>2004.0</v>
      </c>
      <c r="H99" s="8"/>
      <c r="I99" s="8"/>
      <c r="J99" s="84"/>
      <c r="K99" s="16"/>
      <c r="L99" s="13"/>
      <c r="M99" s="15"/>
      <c r="N99" s="15"/>
      <c r="O99" s="15"/>
      <c r="P99" s="15"/>
      <c r="Q99" s="15"/>
      <c r="R99" s="15"/>
      <c r="S99" s="15"/>
      <c r="T99" s="15"/>
      <c r="U99" s="64" t="s">
        <v>315</v>
      </c>
    </row>
    <row r="100">
      <c r="A100" s="7"/>
      <c r="B100" s="8">
        <v>38.0</v>
      </c>
      <c r="C100" s="14" t="s">
        <v>316</v>
      </c>
      <c r="D100" s="7" t="s">
        <v>317</v>
      </c>
      <c r="E100" s="11"/>
      <c r="F100" s="8" t="s">
        <v>318</v>
      </c>
      <c r="G100" s="8">
        <v>2004.0</v>
      </c>
      <c r="H100" s="8"/>
      <c r="I100" s="8"/>
      <c r="J100" s="84"/>
      <c r="K100" s="16"/>
      <c r="L100" s="13"/>
      <c r="M100" s="15"/>
      <c r="N100" s="15"/>
      <c r="O100" s="15"/>
      <c r="P100" s="15"/>
      <c r="Q100" s="15"/>
      <c r="R100" s="15"/>
      <c r="S100" s="15"/>
      <c r="T100" s="15"/>
      <c r="U100" s="16"/>
    </row>
    <row r="101">
      <c r="A101" s="7"/>
      <c r="B101" s="8">
        <v>39.0</v>
      </c>
      <c r="C101" s="14" t="s">
        <v>319</v>
      </c>
      <c r="D101" s="7" t="s">
        <v>45</v>
      </c>
      <c r="E101" s="11"/>
      <c r="F101" s="8" t="s">
        <v>320</v>
      </c>
      <c r="G101" s="8">
        <v>2003.0</v>
      </c>
      <c r="H101" s="8"/>
      <c r="I101" s="8"/>
      <c r="J101" s="84"/>
      <c r="K101" s="16"/>
      <c r="L101" s="13"/>
      <c r="M101" s="15"/>
      <c r="N101" s="15"/>
      <c r="O101" s="15"/>
      <c r="P101" s="15"/>
      <c r="Q101" s="15"/>
      <c r="R101" s="15"/>
      <c r="S101" s="15"/>
      <c r="T101" s="15"/>
      <c r="U101" s="16"/>
    </row>
    <row r="102">
      <c r="A102" s="7"/>
      <c r="B102" s="8">
        <v>40.0</v>
      </c>
      <c r="C102" s="14" t="s">
        <v>321</v>
      </c>
      <c r="D102" s="7" t="s">
        <v>317</v>
      </c>
      <c r="E102" s="11"/>
      <c r="F102" s="8" t="s">
        <v>322</v>
      </c>
      <c r="G102" s="8">
        <v>2016.0</v>
      </c>
      <c r="H102" s="8"/>
      <c r="I102" s="8"/>
      <c r="J102" s="84"/>
      <c r="K102" s="16"/>
      <c r="L102" s="13"/>
      <c r="M102" s="15"/>
      <c r="N102" s="15"/>
      <c r="O102" s="15"/>
      <c r="P102" s="15"/>
      <c r="Q102" s="15"/>
      <c r="R102" s="15"/>
      <c r="S102" s="15"/>
      <c r="T102" s="15"/>
      <c r="U102" s="16"/>
    </row>
    <row r="103">
      <c r="A103" s="7"/>
      <c r="B103" s="8">
        <v>41.0</v>
      </c>
      <c r="C103" s="14" t="s">
        <v>323</v>
      </c>
      <c r="D103" s="7" t="s">
        <v>317</v>
      </c>
      <c r="E103" s="11"/>
      <c r="F103" s="8" t="s">
        <v>324</v>
      </c>
      <c r="G103" s="8">
        <v>2011.0</v>
      </c>
      <c r="H103" s="8"/>
      <c r="I103" s="8"/>
      <c r="J103" s="84"/>
      <c r="K103" s="16"/>
      <c r="L103" s="13"/>
      <c r="M103" s="15"/>
      <c r="N103" s="15"/>
      <c r="O103" s="15"/>
      <c r="P103" s="15"/>
      <c r="Q103" s="15"/>
      <c r="R103" s="15"/>
      <c r="S103" s="15"/>
      <c r="T103" s="15"/>
      <c r="U103" s="16"/>
    </row>
    <row r="104">
      <c r="A104" s="22"/>
      <c r="B104" s="24">
        <v>42.0</v>
      </c>
      <c r="C104" s="31" t="s">
        <v>325</v>
      </c>
      <c r="D104" s="33" t="s">
        <v>48</v>
      </c>
      <c r="E104" s="33" t="s">
        <v>32</v>
      </c>
      <c r="F104" s="35" t="s">
        <v>326</v>
      </c>
      <c r="G104" s="35">
        <v>2010.0</v>
      </c>
      <c r="H104" s="35"/>
      <c r="I104" s="35">
        <v>1.0</v>
      </c>
      <c r="J104" s="36">
        <v>1.0</v>
      </c>
      <c r="K104" s="37" t="s">
        <v>327</v>
      </c>
      <c r="L104" s="37" t="s">
        <v>328</v>
      </c>
      <c r="M104" s="39"/>
      <c r="N104" s="39"/>
      <c r="O104" s="39"/>
      <c r="P104" s="39"/>
      <c r="Q104" s="39"/>
      <c r="R104" s="39"/>
      <c r="S104" s="39"/>
      <c r="T104" s="39"/>
      <c r="U104" s="40"/>
    </row>
    <row r="105">
      <c r="A105" s="41">
        <v>1.0</v>
      </c>
      <c r="B105" s="42">
        <v>42.0</v>
      </c>
      <c r="C105" s="43"/>
      <c r="D105" s="41"/>
      <c r="E105" s="41"/>
      <c r="F105" s="43"/>
      <c r="G105" s="43"/>
      <c r="H105" s="43">
        <v>1.0</v>
      </c>
      <c r="I105" s="43">
        <v>2.0</v>
      </c>
      <c r="J105" s="44">
        <v>1.0</v>
      </c>
      <c r="K105" s="45"/>
      <c r="L105" s="45" t="s">
        <v>329</v>
      </c>
      <c r="M105" s="44" t="s">
        <v>330</v>
      </c>
      <c r="N105" s="44" t="s">
        <v>169</v>
      </c>
      <c r="O105" s="47"/>
      <c r="P105" s="44" t="s">
        <v>331</v>
      </c>
      <c r="Q105" s="47"/>
      <c r="R105" s="47">
        <f>FDIST(4.84,1,138)</f>
        <v>0.02947072409</v>
      </c>
      <c r="S105" s="112">
        <f t="shared" ref="S105:S106" si="19">NORMINV(1-R105/2,0,1)</f>
        <v>2.177131944</v>
      </c>
      <c r="T105" s="113">
        <f>NORMDIST(S105,1.96,1,TRUE)</f>
        <v>0.5859472401</v>
      </c>
      <c r="U105" s="50"/>
    </row>
    <row r="106">
      <c r="A106" s="41">
        <v>1.0</v>
      </c>
      <c r="B106" s="83">
        <v>42.0</v>
      </c>
      <c r="C106" s="75"/>
      <c r="D106" s="76"/>
      <c r="E106" s="76"/>
      <c r="F106" s="75"/>
      <c r="G106" s="75"/>
      <c r="H106" s="75">
        <v>2.0</v>
      </c>
      <c r="I106" s="75">
        <v>3.0</v>
      </c>
      <c r="J106" s="77">
        <v>2.0</v>
      </c>
      <c r="K106" s="78" t="s">
        <v>332</v>
      </c>
      <c r="L106" s="78" t="s">
        <v>333</v>
      </c>
      <c r="M106" s="77" t="s">
        <v>334</v>
      </c>
      <c r="N106" s="77" t="s">
        <v>169</v>
      </c>
      <c r="O106" s="80"/>
      <c r="P106" s="77" t="s">
        <v>335</v>
      </c>
      <c r="Q106" s="80"/>
      <c r="R106" s="80">
        <f>FDIST(4.92,1,101)</f>
        <v>0.0287872267</v>
      </c>
      <c r="S106" s="114">
        <f t="shared" si="19"/>
        <v>2.186388054</v>
      </c>
      <c r="T106" s="114">
        <f>NORMDIST(R106,1.96,1,TRUE)</f>
        <v>0.02672837251</v>
      </c>
      <c r="U106" s="81"/>
    </row>
    <row r="107">
      <c r="A107" s="7"/>
      <c r="B107" s="8">
        <v>43.0</v>
      </c>
      <c r="C107" s="14" t="s">
        <v>336</v>
      </c>
      <c r="D107" s="7" t="s">
        <v>337</v>
      </c>
      <c r="E107" s="11"/>
      <c r="F107" s="8" t="s">
        <v>338</v>
      </c>
      <c r="G107" s="8">
        <v>2010.0</v>
      </c>
      <c r="H107" s="8"/>
      <c r="I107" s="8"/>
      <c r="J107" s="84"/>
      <c r="K107" s="16"/>
      <c r="L107" s="13"/>
      <c r="M107" s="15"/>
      <c r="N107" s="15"/>
      <c r="O107" s="15"/>
      <c r="P107" s="15"/>
      <c r="Q107" s="15"/>
      <c r="R107" s="15"/>
      <c r="S107" s="15"/>
      <c r="T107" s="15"/>
      <c r="U107" s="16"/>
    </row>
    <row r="108">
      <c r="A108" s="7"/>
      <c r="B108" s="8">
        <v>44.0</v>
      </c>
      <c r="C108" s="14" t="s">
        <v>339</v>
      </c>
      <c r="D108" s="7" t="s">
        <v>340</v>
      </c>
      <c r="E108" s="11"/>
      <c r="F108" s="8" t="s">
        <v>341</v>
      </c>
      <c r="G108" s="8">
        <v>2003.0</v>
      </c>
      <c r="H108" s="8"/>
      <c r="I108" s="8"/>
      <c r="J108" s="84"/>
      <c r="K108" s="16"/>
      <c r="L108" s="13"/>
      <c r="M108" s="15"/>
      <c r="N108" s="15"/>
      <c r="O108" s="15"/>
      <c r="P108" s="15"/>
      <c r="Q108" s="15"/>
      <c r="R108" s="15"/>
      <c r="S108" s="15"/>
      <c r="T108" s="15"/>
      <c r="U108" s="16"/>
    </row>
    <row r="109">
      <c r="A109" s="7"/>
      <c r="B109" s="8">
        <v>45.0</v>
      </c>
      <c r="C109" s="14" t="s">
        <v>342</v>
      </c>
      <c r="D109" s="7" t="s">
        <v>343</v>
      </c>
      <c r="E109" s="7"/>
      <c r="F109" s="8" t="s">
        <v>344</v>
      </c>
      <c r="G109" s="8">
        <v>2001.0</v>
      </c>
      <c r="H109" s="8"/>
      <c r="I109" s="8"/>
      <c r="J109" s="84"/>
      <c r="K109" s="16"/>
      <c r="L109" s="13"/>
      <c r="M109" s="15"/>
      <c r="N109" s="15"/>
      <c r="O109" s="15"/>
      <c r="P109" s="15"/>
      <c r="Q109" s="15"/>
      <c r="R109" s="15"/>
      <c r="S109" s="15"/>
      <c r="T109" s="15"/>
      <c r="U109" s="64" t="s">
        <v>345</v>
      </c>
    </row>
    <row r="110">
      <c r="A110" s="7"/>
      <c r="B110" s="8">
        <v>46.0</v>
      </c>
      <c r="C110" s="14" t="s">
        <v>346</v>
      </c>
      <c r="D110" s="7" t="s">
        <v>143</v>
      </c>
      <c r="E110" s="11"/>
      <c r="F110" s="8" t="s">
        <v>347</v>
      </c>
      <c r="G110" s="8">
        <v>2016.0</v>
      </c>
      <c r="H110" s="8"/>
      <c r="I110" s="8"/>
      <c r="J110" s="84"/>
      <c r="K110" s="16"/>
      <c r="L110" s="13"/>
      <c r="M110" s="15"/>
      <c r="N110" s="15"/>
      <c r="O110" s="15"/>
      <c r="P110" s="15"/>
      <c r="Q110" s="15"/>
      <c r="R110" s="15"/>
      <c r="S110" s="15"/>
      <c r="T110" s="15"/>
      <c r="U110" s="64" t="s">
        <v>348</v>
      </c>
    </row>
    <row r="111">
      <c r="A111" s="7"/>
      <c r="B111" s="8">
        <v>47.0</v>
      </c>
      <c r="C111" s="14" t="s">
        <v>349</v>
      </c>
      <c r="D111" s="7" t="s">
        <v>146</v>
      </c>
      <c r="E111" s="11"/>
      <c r="F111" s="8" t="s">
        <v>350</v>
      </c>
      <c r="G111" s="8">
        <v>2006.0</v>
      </c>
      <c r="H111" s="8"/>
      <c r="I111" s="8"/>
      <c r="J111" s="84"/>
      <c r="K111" s="16"/>
      <c r="L111" s="13"/>
      <c r="M111" s="15"/>
      <c r="N111" s="15"/>
      <c r="O111" s="15"/>
      <c r="P111" s="15"/>
      <c r="Q111" s="15"/>
      <c r="R111" s="15"/>
      <c r="S111" s="15"/>
      <c r="T111" s="15"/>
      <c r="U111" s="16"/>
    </row>
    <row r="112">
      <c r="A112" s="7"/>
      <c r="B112" s="8">
        <v>48.0</v>
      </c>
      <c r="C112" s="14" t="s">
        <v>351</v>
      </c>
      <c r="D112" s="7" t="s">
        <v>352</v>
      </c>
      <c r="E112" s="7"/>
      <c r="F112" s="8" t="s">
        <v>353</v>
      </c>
      <c r="G112" s="8">
        <v>2012.0</v>
      </c>
      <c r="H112" s="8"/>
      <c r="I112" s="8"/>
      <c r="J112" s="84"/>
      <c r="K112" s="16"/>
      <c r="L112" s="13"/>
      <c r="M112" s="15"/>
      <c r="N112" s="15"/>
      <c r="O112" s="15"/>
      <c r="P112" s="15"/>
      <c r="Q112" s="15"/>
      <c r="R112" s="15"/>
      <c r="S112" s="15"/>
      <c r="T112" s="15"/>
      <c r="U112" s="64" t="s">
        <v>315</v>
      </c>
    </row>
    <row r="113">
      <c r="A113" s="7"/>
      <c r="B113" s="8">
        <v>49.0</v>
      </c>
      <c r="C113" s="14" t="s">
        <v>354</v>
      </c>
      <c r="D113" s="7" t="s">
        <v>22</v>
      </c>
      <c r="E113" s="11"/>
      <c r="F113" s="8" t="s">
        <v>355</v>
      </c>
      <c r="G113" s="8">
        <v>2015.0</v>
      </c>
      <c r="H113" s="8"/>
      <c r="I113" s="8"/>
      <c r="J113" s="84"/>
      <c r="K113" s="16"/>
      <c r="L113" s="13"/>
      <c r="M113" s="15"/>
      <c r="N113" s="15"/>
      <c r="O113" s="15"/>
      <c r="P113" s="15"/>
      <c r="Q113" s="15"/>
      <c r="R113" s="15"/>
      <c r="S113" s="15"/>
      <c r="T113" s="15"/>
      <c r="U113" s="16"/>
    </row>
    <row r="114">
      <c r="A114" s="41">
        <v>1.0</v>
      </c>
      <c r="B114" s="86">
        <v>50.0</v>
      </c>
      <c r="C114" s="87" t="s">
        <v>356</v>
      </c>
      <c r="D114" s="88" t="s">
        <v>48</v>
      </c>
      <c r="E114" s="88" t="s">
        <v>32</v>
      </c>
      <c r="F114" s="89" t="s">
        <v>357</v>
      </c>
      <c r="G114" s="89">
        <v>2000.0</v>
      </c>
      <c r="H114" s="89">
        <v>1.0</v>
      </c>
      <c r="I114" s="89">
        <v>1.0</v>
      </c>
      <c r="J114" s="90">
        <v>1.0</v>
      </c>
      <c r="K114" s="91" t="s">
        <v>358</v>
      </c>
      <c r="L114" s="91" t="s">
        <v>359</v>
      </c>
      <c r="M114" s="90" t="s">
        <v>360</v>
      </c>
      <c r="N114" s="90" t="s">
        <v>361</v>
      </c>
      <c r="O114" s="92"/>
      <c r="P114" s="92"/>
      <c r="Q114" s="92"/>
      <c r="R114" s="92">
        <f>fdist(0.75,2,123)</f>
        <v>0.4745142296</v>
      </c>
      <c r="S114" s="92">
        <f t="shared" ref="S114:S116" si="20">NORMINV(1-R114/2,0,1)</f>
        <v>0.7151534493</v>
      </c>
      <c r="T114" s="92">
        <f t="shared" ref="T114:T116" si="21">NORMDIST(S114,1.96,1,TRUE)</f>
        <v>0.1065940805</v>
      </c>
      <c r="U114" s="93" t="s">
        <v>362</v>
      </c>
    </row>
    <row r="115">
      <c r="A115" s="41"/>
      <c r="B115" s="42">
        <v>50.0</v>
      </c>
      <c r="C115" s="43"/>
      <c r="D115" s="41"/>
      <c r="E115" s="41"/>
      <c r="F115" s="43"/>
      <c r="G115" s="43"/>
      <c r="H115" s="43">
        <v>1.0</v>
      </c>
      <c r="I115" s="43">
        <v>1.0</v>
      </c>
      <c r="J115" s="44">
        <v>2.0</v>
      </c>
      <c r="K115" s="45" t="s">
        <v>363</v>
      </c>
      <c r="L115" s="45" t="s">
        <v>364</v>
      </c>
      <c r="M115" s="44" t="s">
        <v>365</v>
      </c>
      <c r="N115" s="44" t="s">
        <v>81</v>
      </c>
      <c r="O115" s="47"/>
      <c r="P115" s="47"/>
      <c r="Q115" s="47"/>
      <c r="R115" s="47">
        <f>fdist(0.03,2,123)</f>
        <v>0.9704526321</v>
      </c>
      <c r="S115" s="47">
        <f t="shared" si="20"/>
        <v>0.03704060221</v>
      </c>
      <c r="T115" s="47">
        <f t="shared" si="21"/>
        <v>0.02724257459</v>
      </c>
      <c r="U115" s="50"/>
    </row>
    <row r="116">
      <c r="A116" s="41"/>
      <c r="B116" s="42">
        <v>50.0</v>
      </c>
      <c r="C116" s="43"/>
      <c r="D116" s="41"/>
      <c r="E116" s="41"/>
      <c r="F116" s="43"/>
      <c r="G116" s="43"/>
      <c r="H116" s="43">
        <v>1.0</v>
      </c>
      <c r="I116" s="43">
        <v>1.0</v>
      </c>
      <c r="J116" s="44"/>
      <c r="K116" s="45"/>
      <c r="L116" s="59"/>
      <c r="M116" s="44" t="s">
        <v>366</v>
      </c>
      <c r="N116" s="44" t="s">
        <v>81</v>
      </c>
      <c r="O116" s="47"/>
      <c r="P116" s="47"/>
      <c r="Q116" s="47"/>
      <c r="R116" s="47">
        <f>FDIST(0.04,2,123)</f>
        <v>0.9608019319</v>
      </c>
      <c r="S116" s="47">
        <f t="shared" si="20"/>
        <v>0.04914727129</v>
      </c>
      <c r="T116" s="47">
        <f t="shared" si="21"/>
        <v>0.02801175467</v>
      </c>
      <c r="U116" s="50"/>
    </row>
    <row r="117">
      <c r="A117" s="41"/>
      <c r="B117" s="42">
        <v>50.0</v>
      </c>
      <c r="C117" s="43"/>
      <c r="D117" s="41"/>
      <c r="E117" s="41"/>
      <c r="F117" s="43"/>
      <c r="G117" s="43"/>
      <c r="H117" s="43"/>
      <c r="I117" s="43">
        <v>1.0</v>
      </c>
      <c r="J117" s="44">
        <v>3.0</v>
      </c>
      <c r="K117" s="45" t="s">
        <v>367</v>
      </c>
      <c r="L117" s="59"/>
      <c r="M117" s="47"/>
      <c r="N117" s="47"/>
      <c r="O117" s="47"/>
      <c r="P117" s="47"/>
      <c r="Q117" s="47"/>
      <c r="R117" s="47"/>
      <c r="S117" s="47"/>
      <c r="T117" s="47"/>
      <c r="U117" s="50"/>
    </row>
    <row r="118">
      <c r="A118" s="41"/>
      <c r="B118" s="83">
        <v>50.0</v>
      </c>
      <c r="C118" s="75"/>
      <c r="D118" s="76"/>
      <c r="E118" s="76"/>
      <c r="F118" s="75"/>
      <c r="G118" s="75"/>
      <c r="H118" s="75"/>
      <c r="I118" s="75">
        <v>1.0</v>
      </c>
      <c r="J118" s="77">
        <v>4.0</v>
      </c>
      <c r="K118" s="78" t="s">
        <v>368</v>
      </c>
      <c r="L118" s="79"/>
      <c r="M118" s="80"/>
      <c r="N118" s="80"/>
      <c r="O118" s="80"/>
      <c r="P118" s="80"/>
      <c r="Q118" s="80"/>
      <c r="R118" s="80"/>
      <c r="S118" s="80"/>
      <c r="T118" s="80"/>
      <c r="U118" s="81"/>
    </row>
    <row r="119">
      <c r="A119" s="7"/>
      <c r="B119" s="8">
        <v>51.0</v>
      </c>
      <c r="C119" s="14" t="s">
        <v>369</v>
      </c>
      <c r="D119" s="7" t="s">
        <v>45</v>
      </c>
      <c r="F119" s="12"/>
      <c r="G119" s="12"/>
      <c r="H119" s="8"/>
      <c r="I119" s="8"/>
      <c r="J119" s="84"/>
      <c r="K119" s="16"/>
      <c r="L119" s="13"/>
      <c r="M119" s="15"/>
      <c r="N119" s="15"/>
      <c r="O119" s="15"/>
      <c r="P119" s="15"/>
      <c r="Q119" s="15"/>
      <c r="R119" s="15"/>
      <c r="S119" s="15"/>
      <c r="T119" s="15"/>
      <c r="U119" s="16"/>
    </row>
    <row r="120">
      <c r="A120" s="7"/>
      <c r="B120" s="8">
        <v>52.0</v>
      </c>
      <c r="C120" s="14" t="s">
        <v>370</v>
      </c>
      <c r="D120" s="7" t="s">
        <v>56</v>
      </c>
      <c r="E120" s="11"/>
      <c r="F120" s="12"/>
      <c r="G120" s="12"/>
      <c r="H120" s="8"/>
      <c r="I120" s="8"/>
      <c r="J120" s="84"/>
      <c r="K120" s="16"/>
      <c r="L120" s="13"/>
      <c r="M120" s="15"/>
      <c r="N120" s="15"/>
      <c r="O120" s="15"/>
      <c r="P120" s="15"/>
      <c r="Q120" s="15"/>
      <c r="R120" s="15"/>
      <c r="S120" s="15"/>
      <c r="T120" s="15"/>
      <c r="U120" s="16"/>
    </row>
    <row r="121">
      <c r="A121" s="7"/>
      <c r="B121" s="8">
        <v>53.0</v>
      </c>
      <c r="C121" s="14" t="s">
        <v>371</v>
      </c>
      <c r="D121" s="7" t="s">
        <v>56</v>
      </c>
      <c r="E121" s="11"/>
      <c r="F121" s="12"/>
      <c r="G121" s="12"/>
      <c r="H121" s="8"/>
      <c r="I121" s="8"/>
      <c r="J121" s="84"/>
      <c r="K121" s="16"/>
      <c r="L121" s="13"/>
      <c r="M121" s="15"/>
      <c r="N121" s="15"/>
      <c r="O121" s="15"/>
      <c r="P121" s="15"/>
      <c r="Q121" s="15"/>
      <c r="R121" s="15"/>
      <c r="S121" s="15"/>
      <c r="T121" s="15"/>
      <c r="U121" s="16"/>
    </row>
    <row r="122">
      <c r="A122" s="7"/>
      <c r="B122" s="8">
        <v>54.0</v>
      </c>
      <c r="C122" s="14" t="s">
        <v>372</v>
      </c>
      <c r="D122" s="7" t="s">
        <v>56</v>
      </c>
      <c r="E122" s="11"/>
      <c r="F122" s="12"/>
      <c r="G122" s="12"/>
      <c r="H122" s="8"/>
      <c r="I122" s="8"/>
      <c r="J122" s="84"/>
      <c r="K122" s="16"/>
      <c r="L122" s="13"/>
      <c r="M122" s="15"/>
      <c r="N122" s="15"/>
      <c r="O122" s="15"/>
      <c r="P122" s="15"/>
      <c r="Q122" s="15"/>
      <c r="R122" s="15"/>
      <c r="S122" s="15"/>
      <c r="T122" s="15"/>
      <c r="U122" s="16"/>
    </row>
    <row r="123">
      <c r="A123" s="7"/>
      <c r="B123" s="8">
        <v>55.0</v>
      </c>
      <c r="C123" s="14" t="s">
        <v>373</v>
      </c>
      <c r="D123" s="11"/>
      <c r="E123" s="7" t="s">
        <v>61</v>
      </c>
      <c r="F123" s="12"/>
      <c r="G123" s="12"/>
      <c r="H123" s="8"/>
      <c r="I123" s="8"/>
      <c r="J123" s="84"/>
      <c r="K123" s="16"/>
      <c r="L123" s="13"/>
      <c r="M123" s="15"/>
      <c r="N123" s="15"/>
      <c r="O123" s="15"/>
      <c r="P123" s="15"/>
      <c r="Q123" s="15"/>
      <c r="R123" s="15"/>
      <c r="S123" s="15"/>
      <c r="T123" s="15"/>
      <c r="U123" s="16"/>
    </row>
    <row r="124">
      <c r="A124" s="7"/>
      <c r="B124" s="8">
        <v>56.0</v>
      </c>
      <c r="C124" s="14" t="s">
        <v>374</v>
      </c>
      <c r="D124" s="7" t="s">
        <v>307</v>
      </c>
      <c r="E124" s="11"/>
      <c r="F124" s="12"/>
      <c r="G124" s="12"/>
      <c r="H124" s="8"/>
      <c r="I124" s="8"/>
      <c r="J124" s="84"/>
      <c r="K124" s="16"/>
      <c r="L124" s="13"/>
      <c r="M124" s="15"/>
      <c r="N124" s="15"/>
      <c r="O124" s="15"/>
      <c r="P124" s="15"/>
      <c r="Q124" s="15"/>
      <c r="R124" s="15"/>
      <c r="S124" s="15"/>
      <c r="T124" s="15"/>
      <c r="U124" s="16"/>
    </row>
    <row r="125">
      <c r="A125" s="7"/>
      <c r="B125" s="8">
        <v>57.0</v>
      </c>
      <c r="C125" s="14" t="s">
        <v>375</v>
      </c>
      <c r="D125" s="7" t="s">
        <v>376</v>
      </c>
      <c r="E125" s="11"/>
      <c r="F125" s="12"/>
      <c r="G125" s="12"/>
      <c r="H125" s="8"/>
      <c r="I125" s="8"/>
      <c r="J125" s="84"/>
      <c r="K125" s="16"/>
      <c r="L125" s="13"/>
      <c r="M125" s="15"/>
      <c r="N125" s="15"/>
      <c r="O125" s="15"/>
      <c r="P125" s="15"/>
      <c r="Q125" s="15"/>
      <c r="R125" s="15"/>
      <c r="S125" s="15"/>
      <c r="T125" s="15"/>
      <c r="U125" s="16"/>
    </row>
    <row r="126">
      <c r="A126" s="115"/>
      <c r="B126" s="116">
        <v>58.0</v>
      </c>
      <c r="C126" s="117" t="s">
        <v>377</v>
      </c>
      <c r="D126" s="115" t="s">
        <v>378</v>
      </c>
      <c r="E126" s="115" t="s">
        <v>32</v>
      </c>
      <c r="F126" s="116" t="s">
        <v>379</v>
      </c>
      <c r="G126" s="116">
        <v>2009.0</v>
      </c>
      <c r="H126" s="116"/>
      <c r="I126" s="116"/>
      <c r="J126" s="118"/>
      <c r="K126" s="119"/>
      <c r="L126" s="120"/>
      <c r="M126" s="121"/>
      <c r="N126" s="121"/>
      <c r="O126" s="121"/>
      <c r="P126" s="121"/>
      <c r="Q126" s="121"/>
      <c r="R126" s="121"/>
      <c r="S126" s="121"/>
      <c r="T126" s="121"/>
      <c r="U126" s="119"/>
    </row>
    <row r="127">
      <c r="A127" s="22"/>
      <c r="B127" s="24">
        <v>59.0</v>
      </c>
      <c r="C127" s="31" t="s">
        <v>380</v>
      </c>
      <c r="D127" s="33" t="s">
        <v>48</v>
      </c>
      <c r="E127" s="33" t="s">
        <v>32</v>
      </c>
      <c r="F127" s="35" t="s">
        <v>381</v>
      </c>
      <c r="G127" s="35">
        <v>2009.0</v>
      </c>
      <c r="H127" s="35"/>
      <c r="I127" s="35"/>
      <c r="J127" s="36">
        <v>1.0</v>
      </c>
      <c r="K127" s="37" t="s">
        <v>382</v>
      </c>
      <c r="L127" s="38"/>
      <c r="M127" s="39"/>
      <c r="N127" s="39"/>
      <c r="O127" s="39"/>
      <c r="P127" s="39"/>
      <c r="Q127" s="39"/>
      <c r="R127" s="39"/>
      <c r="S127" s="39"/>
      <c r="T127" s="39"/>
      <c r="U127" s="40"/>
    </row>
    <row r="128">
      <c r="A128" s="41">
        <v>1.0</v>
      </c>
      <c r="B128" s="42">
        <v>59.0</v>
      </c>
      <c r="C128" s="43"/>
      <c r="D128" s="41"/>
      <c r="E128" s="41"/>
      <c r="F128" s="43"/>
      <c r="G128" s="43"/>
      <c r="H128" s="43">
        <v>1.0</v>
      </c>
      <c r="I128" s="43">
        <v>1.0</v>
      </c>
      <c r="J128" s="44">
        <v>2.0</v>
      </c>
      <c r="K128" s="43" t="s">
        <v>383</v>
      </c>
      <c r="L128" s="45" t="s">
        <v>384</v>
      </c>
      <c r="M128" s="44" t="s">
        <v>385</v>
      </c>
      <c r="N128" s="44" t="s">
        <v>169</v>
      </c>
      <c r="O128" s="47"/>
      <c r="P128" s="47"/>
      <c r="Q128" s="47"/>
      <c r="R128" s="47"/>
      <c r="S128" s="47"/>
      <c r="T128" s="47"/>
      <c r="U128" s="50"/>
    </row>
    <row r="129">
      <c r="A129" s="41"/>
      <c r="B129" s="42">
        <v>59.0</v>
      </c>
      <c r="C129" s="43"/>
      <c r="D129" s="41"/>
      <c r="E129" s="41"/>
      <c r="F129" s="43"/>
      <c r="G129" s="43"/>
      <c r="H129" s="43">
        <v>1.0</v>
      </c>
      <c r="I129" s="43">
        <v>1.0</v>
      </c>
      <c r="J129" s="44">
        <v>2.0</v>
      </c>
      <c r="K129" s="45"/>
      <c r="L129" s="59"/>
      <c r="M129" s="44" t="s">
        <v>386</v>
      </c>
      <c r="N129" s="96" t="s">
        <v>169</v>
      </c>
      <c r="O129" s="47"/>
      <c r="P129" s="47"/>
      <c r="Q129" s="47"/>
      <c r="R129" s="47"/>
      <c r="S129" s="47"/>
      <c r="T129" s="47"/>
      <c r="U129" s="50"/>
    </row>
    <row r="130">
      <c r="A130" s="41"/>
      <c r="B130" s="42">
        <v>59.0</v>
      </c>
      <c r="C130" s="43"/>
      <c r="D130" s="41"/>
      <c r="E130" s="41"/>
      <c r="F130" s="43"/>
      <c r="G130" s="43"/>
      <c r="H130" s="43">
        <v>1.0</v>
      </c>
      <c r="I130" s="43">
        <v>1.0</v>
      </c>
      <c r="J130" s="44">
        <v>2.0</v>
      </c>
      <c r="K130" s="45"/>
      <c r="L130" s="59"/>
      <c r="M130" s="44" t="s">
        <v>387</v>
      </c>
      <c r="N130" s="44" t="s">
        <v>119</v>
      </c>
      <c r="O130" s="47"/>
      <c r="P130" s="47"/>
      <c r="Q130" s="47"/>
      <c r="R130" s="47"/>
      <c r="S130" s="47"/>
      <c r="T130" s="47"/>
      <c r="U130" s="50"/>
    </row>
    <row r="131">
      <c r="A131" s="41">
        <v>1.0</v>
      </c>
      <c r="B131" s="42">
        <v>59.0</v>
      </c>
      <c r="C131" s="43"/>
      <c r="D131" s="41"/>
      <c r="E131" s="41"/>
      <c r="F131" s="43"/>
      <c r="G131" s="43"/>
      <c r="H131" s="43">
        <v>2.0</v>
      </c>
      <c r="I131" s="43">
        <v>2.0</v>
      </c>
      <c r="J131" s="44">
        <v>2.0</v>
      </c>
      <c r="K131" s="45"/>
      <c r="L131" s="59"/>
      <c r="M131" s="44" t="s">
        <v>388</v>
      </c>
      <c r="N131" s="96" t="s">
        <v>169</v>
      </c>
      <c r="O131" s="47"/>
      <c r="P131" s="47"/>
      <c r="Q131" s="47"/>
      <c r="R131" s="47"/>
      <c r="S131" s="47"/>
      <c r="T131" s="47"/>
      <c r="U131" s="50"/>
    </row>
    <row r="132">
      <c r="A132" s="41"/>
      <c r="B132" s="42">
        <v>59.0</v>
      </c>
      <c r="C132" s="43"/>
      <c r="D132" s="41"/>
      <c r="E132" s="41"/>
      <c r="F132" s="43"/>
      <c r="G132" s="43"/>
      <c r="H132" s="43">
        <v>2.0</v>
      </c>
      <c r="I132" s="43">
        <v>2.0</v>
      </c>
      <c r="J132" s="44">
        <v>2.0</v>
      </c>
      <c r="K132" s="45"/>
      <c r="L132" s="59"/>
      <c r="M132" s="96" t="s">
        <v>389</v>
      </c>
      <c r="N132" s="44" t="s">
        <v>119</v>
      </c>
      <c r="O132" s="47"/>
      <c r="P132" s="47"/>
      <c r="Q132" s="47"/>
      <c r="R132" s="47"/>
      <c r="S132" s="47"/>
      <c r="T132" s="47"/>
      <c r="U132" s="50"/>
    </row>
    <row r="133">
      <c r="A133" s="41"/>
      <c r="B133" s="42">
        <v>59.0</v>
      </c>
      <c r="C133" s="43"/>
      <c r="D133" s="41"/>
      <c r="E133" s="41"/>
      <c r="F133" s="43"/>
      <c r="G133" s="43"/>
      <c r="H133" s="43">
        <v>2.0</v>
      </c>
      <c r="I133" s="43">
        <v>2.0</v>
      </c>
      <c r="J133" s="44">
        <v>2.0</v>
      </c>
      <c r="K133" s="45"/>
      <c r="L133" s="59"/>
      <c r="M133" s="96" t="s">
        <v>390</v>
      </c>
      <c r="N133" s="44" t="s">
        <v>119</v>
      </c>
      <c r="O133" s="47"/>
      <c r="P133" s="47"/>
      <c r="Q133" s="47"/>
      <c r="R133" s="47"/>
      <c r="S133" s="47"/>
      <c r="T133" s="47"/>
      <c r="U133" s="50"/>
    </row>
    <row r="134">
      <c r="A134" s="41">
        <v>1.0</v>
      </c>
      <c r="B134" s="42">
        <v>59.0</v>
      </c>
      <c r="C134" s="43"/>
      <c r="D134" s="41"/>
      <c r="E134" s="41"/>
      <c r="F134" s="43"/>
      <c r="G134" s="43"/>
      <c r="H134" s="43">
        <v>3.0</v>
      </c>
      <c r="I134" s="43">
        <v>3.0</v>
      </c>
      <c r="J134" s="44">
        <v>2.0</v>
      </c>
      <c r="K134" s="45"/>
      <c r="L134" s="122"/>
      <c r="M134" s="46" t="s">
        <v>391</v>
      </c>
      <c r="N134" s="44" t="s">
        <v>119</v>
      </c>
      <c r="O134" s="47"/>
      <c r="P134" s="47"/>
      <c r="Q134" s="47"/>
      <c r="R134" s="47"/>
      <c r="S134" s="47"/>
      <c r="T134" s="47"/>
      <c r="U134" s="50"/>
    </row>
    <row r="135">
      <c r="A135" s="41"/>
      <c r="B135" s="42">
        <v>59.0</v>
      </c>
      <c r="C135" s="43"/>
      <c r="D135" s="41"/>
      <c r="E135" s="41"/>
      <c r="F135" s="43"/>
      <c r="G135" s="43"/>
      <c r="H135" s="43">
        <v>3.0</v>
      </c>
      <c r="I135" s="43">
        <v>3.0</v>
      </c>
      <c r="J135" s="44">
        <v>2.0</v>
      </c>
      <c r="K135" s="45"/>
      <c r="L135" s="59"/>
      <c r="M135" s="44" t="s">
        <v>392</v>
      </c>
      <c r="N135" s="44" t="s">
        <v>119</v>
      </c>
      <c r="O135" s="47"/>
      <c r="P135" s="47"/>
      <c r="Q135" s="47"/>
      <c r="R135" s="47"/>
      <c r="S135" s="47"/>
      <c r="T135" s="47"/>
      <c r="U135" s="50"/>
    </row>
    <row r="136">
      <c r="A136" s="41"/>
      <c r="B136" s="42">
        <v>59.0</v>
      </c>
      <c r="C136" s="43"/>
      <c r="D136" s="41"/>
      <c r="E136" s="41"/>
      <c r="F136" s="43"/>
      <c r="G136" s="43"/>
      <c r="H136" s="43">
        <v>3.0</v>
      </c>
      <c r="I136" s="43">
        <v>3.0</v>
      </c>
      <c r="J136" s="44">
        <v>2.0</v>
      </c>
      <c r="K136" s="45"/>
      <c r="L136" s="59"/>
      <c r="M136" s="96" t="s">
        <v>393</v>
      </c>
      <c r="N136" s="44" t="s">
        <v>119</v>
      </c>
      <c r="O136" s="47"/>
      <c r="P136" s="47"/>
      <c r="Q136" s="47"/>
      <c r="R136" s="47"/>
      <c r="S136" s="47"/>
      <c r="T136" s="47"/>
      <c r="U136" s="50"/>
    </row>
    <row r="137">
      <c r="A137" s="22"/>
      <c r="B137" s="104">
        <v>59.0</v>
      </c>
      <c r="C137" s="105"/>
      <c r="D137" s="106"/>
      <c r="E137" s="106"/>
      <c r="F137" s="105"/>
      <c r="G137" s="105"/>
      <c r="H137" s="105"/>
      <c r="I137" s="105"/>
      <c r="J137" s="107">
        <v>3.0</v>
      </c>
      <c r="K137" s="108" t="s">
        <v>394</v>
      </c>
      <c r="L137" s="109"/>
      <c r="M137" s="110"/>
      <c r="N137" s="110"/>
      <c r="O137" s="110"/>
      <c r="P137" s="110"/>
      <c r="Q137" s="110"/>
      <c r="R137" s="110"/>
      <c r="S137" s="110"/>
      <c r="T137" s="110"/>
      <c r="U137" s="111"/>
    </row>
    <row r="138">
      <c r="A138" s="7"/>
      <c r="B138" s="8">
        <v>60.0</v>
      </c>
      <c r="C138" s="14" t="s">
        <v>395</v>
      </c>
      <c r="D138" s="7" t="s">
        <v>45</v>
      </c>
      <c r="E138" s="11"/>
      <c r="F138" s="12"/>
      <c r="G138" s="12"/>
      <c r="H138" s="8"/>
      <c r="I138" s="8"/>
      <c r="J138" s="84"/>
      <c r="K138" s="16"/>
      <c r="L138" s="13"/>
      <c r="M138" s="15"/>
      <c r="N138" s="15"/>
      <c r="O138" s="15"/>
      <c r="P138" s="15"/>
      <c r="Q138" s="15"/>
      <c r="R138" s="15"/>
      <c r="S138" s="15"/>
      <c r="T138" s="15"/>
      <c r="U138" s="16"/>
    </row>
    <row r="139">
      <c r="A139" s="7"/>
      <c r="B139" s="8">
        <v>61.0</v>
      </c>
      <c r="C139" s="14" t="s">
        <v>396</v>
      </c>
      <c r="D139" s="7" t="s">
        <v>307</v>
      </c>
      <c r="E139" s="11"/>
      <c r="F139" s="12"/>
      <c r="G139" s="12"/>
      <c r="H139" s="8"/>
      <c r="I139" s="8"/>
      <c r="J139" s="84"/>
      <c r="K139" s="16"/>
      <c r="L139" s="13"/>
      <c r="M139" s="15"/>
      <c r="N139" s="15"/>
      <c r="O139" s="15"/>
      <c r="P139" s="15"/>
      <c r="Q139" s="15"/>
      <c r="R139" s="15"/>
      <c r="S139" s="15"/>
      <c r="T139" s="15"/>
      <c r="U139" s="16"/>
    </row>
    <row r="140">
      <c r="A140" s="7"/>
      <c r="B140" s="8">
        <v>62.0</v>
      </c>
      <c r="C140" s="14" t="s">
        <v>397</v>
      </c>
      <c r="D140" s="7" t="s">
        <v>45</v>
      </c>
      <c r="E140" s="11"/>
      <c r="F140" s="12"/>
      <c r="G140" s="12"/>
      <c r="H140" s="8"/>
      <c r="I140" s="8"/>
      <c r="J140" s="84"/>
      <c r="K140" s="16"/>
      <c r="L140" s="13"/>
      <c r="M140" s="15"/>
      <c r="N140" s="15"/>
      <c r="O140" s="15"/>
      <c r="P140" s="15"/>
      <c r="Q140" s="15"/>
      <c r="R140" s="15"/>
      <c r="S140" s="15"/>
      <c r="T140" s="15"/>
      <c r="U140" s="16"/>
    </row>
    <row r="141">
      <c r="A141" s="41">
        <v>1.0</v>
      </c>
      <c r="B141" s="86">
        <v>63.0</v>
      </c>
      <c r="C141" s="87" t="s">
        <v>398</v>
      </c>
      <c r="D141" s="88" t="s">
        <v>48</v>
      </c>
      <c r="E141" s="88" t="s">
        <v>32</v>
      </c>
      <c r="F141" s="89" t="s">
        <v>399</v>
      </c>
      <c r="G141" s="89">
        <v>2003.0</v>
      </c>
      <c r="H141" s="89">
        <v>1.0</v>
      </c>
      <c r="I141" s="89">
        <v>1.0</v>
      </c>
      <c r="J141" s="90">
        <v>1.0</v>
      </c>
      <c r="K141" s="91" t="s">
        <v>400</v>
      </c>
      <c r="L141" s="91" t="s">
        <v>401</v>
      </c>
      <c r="M141" s="90" t="s">
        <v>402</v>
      </c>
      <c r="N141" s="90" t="s">
        <v>119</v>
      </c>
      <c r="O141" s="92"/>
      <c r="P141" s="90" t="s">
        <v>403</v>
      </c>
      <c r="Q141" s="92"/>
      <c r="R141" s="92">
        <f>fdist(118.23,1,32)</f>
        <v>0</v>
      </c>
      <c r="S141" s="92">
        <f t="shared" ref="S141:S143" si="22">NORMINV(1-R141/2,0,1)</f>
        <v>6.986859007</v>
      </c>
      <c r="T141" s="92">
        <f t="shared" ref="T141:T143" si="23">NORMDIST(S141,1.96,1,TRUE)</f>
        <v>0.9999997507</v>
      </c>
      <c r="U141" s="93"/>
    </row>
    <row r="142">
      <c r="A142" s="41"/>
      <c r="B142" s="42">
        <v>63.0</v>
      </c>
      <c r="C142" s="43"/>
      <c r="D142" s="41"/>
      <c r="E142" s="41"/>
      <c r="F142" s="43"/>
      <c r="G142" s="43"/>
      <c r="H142" s="43">
        <v>1.0</v>
      </c>
      <c r="I142" s="43">
        <v>1.0</v>
      </c>
      <c r="J142" s="44">
        <v>2.0</v>
      </c>
      <c r="K142" s="45" t="s">
        <v>404</v>
      </c>
      <c r="L142" s="45" t="s">
        <v>405</v>
      </c>
      <c r="M142" s="44" t="s">
        <v>406</v>
      </c>
      <c r="N142" s="44" t="s">
        <v>119</v>
      </c>
      <c r="O142" s="47"/>
      <c r="P142" s="123" t="s">
        <v>407</v>
      </c>
      <c r="Q142" s="47"/>
      <c r="R142" s="47">
        <f>fdist(100.22,1,31)</f>
        <v>0</v>
      </c>
      <c r="S142" s="47">
        <f t="shared" si="22"/>
        <v>6.64070941</v>
      </c>
      <c r="T142" s="47">
        <f t="shared" si="23"/>
        <v>0.9999985706</v>
      </c>
      <c r="U142" s="50"/>
    </row>
    <row r="143">
      <c r="A143" s="41"/>
      <c r="B143" s="42">
        <v>63.0</v>
      </c>
      <c r="C143" s="43"/>
      <c r="D143" s="41"/>
      <c r="E143" s="41"/>
      <c r="F143" s="43"/>
      <c r="G143" s="43"/>
      <c r="H143" s="43">
        <v>1.0</v>
      </c>
      <c r="I143" s="43">
        <v>1.0</v>
      </c>
      <c r="J143" s="44" t="s">
        <v>53</v>
      </c>
      <c r="K143" s="45" t="s">
        <v>408</v>
      </c>
      <c r="L143" s="45" t="s">
        <v>409</v>
      </c>
      <c r="M143" s="44" t="s">
        <v>410</v>
      </c>
      <c r="N143" s="44" t="s">
        <v>411</v>
      </c>
      <c r="O143" s="47"/>
      <c r="P143" s="44" t="s">
        <v>290</v>
      </c>
      <c r="Q143" s="47"/>
      <c r="R143" s="47">
        <f>fdist(4.92,1,32)</f>
        <v>0.03376685666</v>
      </c>
      <c r="S143" s="47">
        <f t="shared" si="22"/>
        <v>2.122844829</v>
      </c>
      <c r="T143" s="47">
        <f t="shared" si="23"/>
        <v>0.5646796947</v>
      </c>
      <c r="U143" s="50"/>
    </row>
    <row r="144">
      <c r="A144" s="22"/>
      <c r="B144" s="104">
        <v>63.0</v>
      </c>
      <c r="C144" s="105"/>
      <c r="D144" s="106"/>
      <c r="E144" s="106"/>
      <c r="F144" s="105"/>
      <c r="G144" s="105"/>
      <c r="H144" s="105"/>
      <c r="I144" s="105">
        <v>1.0</v>
      </c>
      <c r="J144" s="107" t="s">
        <v>65</v>
      </c>
      <c r="K144" s="108" t="s">
        <v>412</v>
      </c>
      <c r="L144" s="108" t="s">
        <v>413</v>
      </c>
      <c r="M144" s="110"/>
      <c r="N144" s="110"/>
      <c r="O144" s="110"/>
      <c r="P144" s="110"/>
      <c r="Q144" s="110"/>
      <c r="R144" s="110"/>
      <c r="S144" s="110"/>
      <c r="T144" s="110"/>
      <c r="U144" s="111"/>
    </row>
    <row r="145">
      <c r="A145" s="7"/>
      <c r="B145" s="8">
        <v>64.0</v>
      </c>
      <c r="C145" s="14" t="s">
        <v>414</v>
      </c>
      <c r="D145" s="11"/>
      <c r="E145" s="7" t="s">
        <v>61</v>
      </c>
      <c r="F145" s="12"/>
      <c r="G145" s="12"/>
      <c r="H145" s="8"/>
      <c r="I145" s="8"/>
      <c r="J145" s="84"/>
      <c r="K145" s="16"/>
      <c r="L145" s="13"/>
      <c r="M145" s="15"/>
      <c r="N145" s="15"/>
      <c r="O145" s="15"/>
      <c r="P145" s="15"/>
      <c r="Q145" s="15"/>
      <c r="R145" s="15"/>
      <c r="S145" s="15"/>
      <c r="T145" s="15"/>
      <c r="U145" s="16"/>
    </row>
    <row r="146">
      <c r="A146" s="7"/>
      <c r="B146" s="8">
        <v>65.0</v>
      </c>
      <c r="C146" s="14" t="s">
        <v>415</v>
      </c>
      <c r="D146" s="7" t="s">
        <v>307</v>
      </c>
      <c r="E146" s="11"/>
      <c r="F146" s="12"/>
      <c r="G146" s="12"/>
      <c r="H146" s="8"/>
      <c r="I146" s="8"/>
      <c r="J146" s="84"/>
      <c r="K146" s="16"/>
      <c r="L146" s="13"/>
      <c r="M146" s="15"/>
      <c r="N146" s="15"/>
      <c r="O146" s="15"/>
      <c r="P146" s="15"/>
      <c r="Q146" s="15"/>
      <c r="R146" s="15"/>
      <c r="S146" s="15"/>
      <c r="T146" s="15"/>
      <c r="U146" s="16"/>
    </row>
    <row r="147">
      <c r="A147" s="7"/>
      <c r="B147" s="8">
        <v>66.0</v>
      </c>
      <c r="C147" s="14" t="s">
        <v>416</v>
      </c>
      <c r="D147" s="7" t="s">
        <v>56</v>
      </c>
      <c r="E147" s="11"/>
      <c r="F147" s="12"/>
      <c r="G147" s="12"/>
      <c r="H147" s="8"/>
      <c r="I147" s="8"/>
      <c r="J147" s="84"/>
      <c r="K147" s="16"/>
      <c r="L147" s="13"/>
      <c r="M147" s="15"/>
      <c r="N147" s="15"/>
      <c r="O147" s="15"/>
      <c r="P147" s="15"/>
      <c r="Q147" s="15"/>
      <c r="R147" s="15"/>
      <c r="S147" s="15"/>
      <c r="T147" s="15"/>
      <c r="U147" s="16"/>
    </row>
    <row r="148">
      <c r="A148" s="7"/>
      <c r="B148" s="8">
        <v>67.0</v>
      </c>
      <c r="C148" s="14" t="s">
        <v>417</v>
      </c>
      <c r="D148" s="7" t="s">
        <v>56</v>
      </c>
      <c r="E148" s="11"/>
      <c r="F148" s="12"/>
      <c r="G148" s="12"/>
      <c r="H148" s="8"/>
      <c r="I148" s="8"/>
      <c r="J148" s="84"/>
      <c r="K148" s="16"/>
      <c r="L148" s="16"/>
      <c r="M148" s="15"/>
      <c r="N148" s="15"/>
      <c r="O148" s="15"/>
      <c r="P148" s="15"/>
      <c r="Q148" s="15"/>
      <c r="R148" s="15"/>
      <c r="S148" s="15"/>
      <c r="T148" s="15"/>
      <c r="U148" s="16"/>
    </row>
    <row r="149">
      <c r="A149" s="22"/>
      <c r="B149" s="24">
        <v>68.0</v>
      </c>
      <c r="C149" s="31" t="s">
        <v>418</v>
      </c>
      <c r="D149" s="33" t="s">
        <v>48</v>
      </c>
      <c r="E149" s="33" t="s">
        <v>32</v>
      </c>
      <c r="F149" s="35" t="s">
        <v>419</v>
      </c>
      <c r="G149" s="35">
        <v>2005.0</v>
      </c>
      <c r="H149" s="35"/>
      <c r="I149" s="35">
        <v>1.0</v>
      </c>
      <c r="J149" s="36">
        <v>1.0</v>
      </c>
      <c r="K149" s="37" t="s">
        <v>420</v>
      </c>
      <c r="L149" s="37"/>
      <c r="M149" s="39"/>
      <c r="N149" s="39"/>
      <c r="O149" s="39"/>
      <c r="P149" s="39"/>
      <c r="Q149" s="39"/>
      <c r="R149" s="39"/>
      <c r="S149" s="39"/>
      <c r="T149" s="39"/>
      <c r="U149" s="40"/>
    </row>
    <row r="150">
      <c r="A150" s="41">
        <v>1.0</v>
      </c>
      <c r="B150" s="42">
        <v>68.0</v>
      </c>
      <c r="C150" s="43"/>
      <c r="D150" s="41"/>
      <c r="E150" s="41"/>
      <c r="F150" s="43"/>
      <c r="G150" s="43"/>
      <c r="H150" s="43">
        <v>1.0</v>
      </c>
      <c r="I150" s="43">
        <v>1.0</v>
      </c>
      <c r="J150" s="44">
        <v>2.0</v>
      </c>
      <c r="K150" s="45" t="s">
        <v>421</v>
      </c>
      <c r="L150" s="45" t="s">
        <v>422</v>
      </c>
      <c r="M150" s="44" t="s">
        <v>423</v>
      </c>
      <c r="N150" s="44" t="s">
        <v>424</v>
      </c>
      <c r="O150" s="47"/>
      <c r="P150" s="47"/>
      <c r="Q150" s="47"/>
      <c r="R150" s="47">
        <f>tdist(3.71,73,2)</f>
        <v>0.000401603252</v>
      </c>
      <c r="S150" s="47">
        <f t="shared" ref="S150:S153" si="24">NORMINV(1-R150/2,0,1)</f>
        <v>3.539027997</v>
      </c>
      <c r="T150" s="47">
        <f t="shared" ref="T150:T153" si="25">NORMDIST(S150,1.96,1,TRUE)</f>
        <v>0.9428351822</v>
      </c>
      <c r="U150" s="50"/>
    </row>
    <row r="151">
      <c r="A151" s="41"/>
      <c r="B151" s="42">
        <v>68.0</v>
      </c>
      <c r="C151" s="43"/>
      <c r="D151" s="41"/>
      <c r="E151" s="41"/>
      <c r="F151" s="43"/>
      <c r="G151" s="43"/>
      <c r="H151" s="43">
        <v>1.0</v>
      </c>
      <c r="I151" s="43">
        <v>1.0</v>
      </c>
      <c r="J151" s="44"/>
      <c r="K151" s="45"/>
      <c r="L151" s="59"/>
      <c r="M151" s="44" t="s">
        <v>425</v>
      </c>
      <c r="N151" s="44" t="s">
        <v>128</v>
      </c>
      <c r="O151" s="47"/>
      <c r="P151" s="47"/>
      <c r="Q151" s="47"/>
      <c r="R151" s="47">
        <f>tdist(6.27,73,2)</f>
        <v>0.00000002275983801</v>
      </c>
      <c r="S151" s="47">
        <f t="shared" si="24"/>
        <v>5.589596104</v>
      </c>
      <c r="T151" s="47">
        <f t="shared" si="25"/>
        <v>0.9998580675</v>
      </c>
      <c r="U151" s="50"/>
    </row>
    <row r="152">
      <c r="A152" s="41"/>
      <c r="B152" s="42">
        <v>68.0</v>
      </c>
      <c r="C152" s="43"/>
      <c r="D152" s="41"/>
      <c r="E152" s="41"/>
      <c r="F152" s="43"/>
      <c r="G152" s="43"/>
      <c r="H152" s="43">
        <v>1.0</v>
      </c>
      <c r="I152" s="43">
        <v>1.0</v>
      </c>
      <c r="J152" s="44"/>
      <c r="K152" s="45"/>
      <c r="L152" s="59"/>
      <c r="M152" s="44" t="s">
        <v>426</v>
      </c>
      <c r="N152" s="122" t="s">
        <v>222</v>
      </c>
      <c r="O152" s="47"/>
      <c r="P152" s="47"/>
      <c r="Q152" s="47"/>
      <c r="R152" s="47">
        <f>tdist(2.09,73,2)</f>
        <v>0.04010146792</v>
      </c>
      <c r="S152" s="47">
        <f t="shared" si="24"/>
        <v>2.052702205</v>
      </c>
      <c r="T152" s="47">
        <f t="shared" si="25"/>
        <v>0.5369299274</v>
      </c>
      <c r="U152" s="50"/>
    </row>
    <row r="153">
      <c r="A153" s="41"/>
      <c r="B153" s="42">
        <v>68.0</v>
      </c>
      <c r="C153" s="43"/>
      <c r="D153" s="41"/>
      <c r="E153" s="41"/>
      <c r="F153" s="43"/>
      <c r="G153" s="43"/>
      <c r="H153" s="43">
        <v>1.0</v>
      </c>
      <c r="I153" s="43">
        <v>1.0</v>
      </c>
      <c r="J153" s="44"/>
      <c r="K153" s="45"/>
      <c r="L153" s="59"/>
      <c r="M153" s="44" t="s">
        <v>427</v>
      </c>
      <c r="N153" s="122" t="s">
        <v>428</v>
      </c>
      <c r="O153" s="47"/>
      <c r="P153" s="47"/>
      <c r="Q153" s="47"/>
      <c r="R153" s="47">
        <f>tdist(0.15,73,2)</f>
        <v>0.8811782885</v>
      </c>
      <c r="S153" s="47">
        <f t="shared" si="24"/>
        <v>0.1494756924</v>
      </c>
      <c r="T153" s="47">
        <f t="shared" si="25"/>
        <v>0.03510725917</v>
      </c>
      <c r="U153" s="50"/>
    </row>
    <row r="154">
      <c r="A154" s="41"/>
      <c r="B154" s="42">
        <v>68.0</v>
      </c>
      <c r="C154" s="43"/>
      <c r="D154" s="41"/>
      <c r="E154" s="41"/>
      <c r="F154" s="43"/>
      <c r="G154" s="43"/>
      <c r="H154" s="43">
        <v>1.0</v>
      </c>
      <c r="I154" s="43">
        <v>1.0</v>
      </c>
      <c r="J154" s="44" t="s">
        <v>53</v>
      </c>
      <c r="K154" s="45" t="s">
        <v>429</v>
      </c>
      <c r="L154" s="45" t="s">
        <v>430</v>
      </c>
      <c r="M154" s="44" t="s">
        <v>431</v>
      </c>
      <c r="N154" s="44" t="s">
        <v>432</v>
      </c>
      <c r="O154" s="47"/>
      <c r="P154" s="47"/>
      <c r="Q154" s="47"/>
      <c r="R154" s="47"/>
      <c r="S154" s="47"/>
      <c r="T154" s="47"/>
      <c r="U154" s="50"/>
    </row>
    <row r="155">
      <c r="A155" s="22"/>
      <c r="B155" s="74">
        <v>68.0</v>
      </c>
      <c r="C155" s="62"/>
      <c r="D155" s="22"/>
      <c r="E155" s="22"/>
      <c r="F155" s="62"/>
      <c r="G155" s="62"/>
      <c r="H155" s="62"/>
      <c r="I155" s="62">
        <v>1.0</v>
      </c>
      <c r="J155" s="63" t="s">
        <v>65</v>
      </c>
      <c r="K155" s="64" t="s">
        <v>429</v>
      </c>
      <c r="L155" s="64" t="s">
        <v>433</v>
      </c>
      <c r="M155" s="63" t="s">
        <v>434</v>
      </c>
      <c r="N155" s="63" t="s">
        <v>169</v>
      </c>
      <c r="O155" s="66"/>
      <c r="P155" s="66"/>
      <c r="Q155" s="66"/>
      <c r="R155" s="66">
        <f>FDIST(3.65,1,99)</f>
        <v>0.05896277483</v>
      </c>
      <c r="S155" s="66">
        <f>NORMINV(1-R155/2,0,1)</f>
        <v>1.888470795</v>
      </c>
      <c r="T155" s="124">
        <f>NORMDIST(S155,1.96,1,TRUE)</f>
        <v>0.4714882907</v>
      </c>
      <c r="U155" s="99" t="s">
        <v>435</v>
      </c>
    </row>
    <row r="156">
      <c r="A156" s="22"/>
      <c r="B156" s="74">
        <v>68.0</v>
      </c>
      <c r="C156" s="62"/>
      <c r="D156" s="22"/>
      <c r="E156" s="22"/>
      <c r="F156" s="62"/>
      <c r="G156" s="62"/>
      <c r="H156" s="62"/>
      <c r="I156" s="62">
        <v>1.0</v>
      </c>
      <c r="J156" s="63" t="s">
        <v>130</v>
      </c>
      <c r="K156" s="64" t="s">
        <v>436</v>
      </c>
      <c r="L156" s="64" t="s">
        <v>437</v>
      </c>
      <c r="M156" s="125"/>
      <c r="N156" s="125"/>
      <c r="O156" s="66"/>
      <c r="P156" s="66"/>
      <c r="Q156" s="66"/>
      <c r="R156" s="66"/>
      <c r="S156" s="66"/>
      <c r="T156" s="66"/>
      <c r="U156" s="67"/>
    </row>
    <row r="157">
      <c r="A157" s="22"/>
      <c r="B157" s="104">
        <v>68.0</v>
      </c>
      <c r="C157" s="105"/>
      <c r="D157" s="106"/>
      <c r="E157" s="106"/>
      <c r="F157" s="105"/>
      <c r="G157" s="105"/>
      <c r="H157" s="105"/>
      <c r="I157" s="105">
        <v>1.0</v>
      </c>
      <c r="J157" s="107" t="s">
        <v>134</v>
      </c>
      <c r="K157" s="108" t="s">
        <v>438</v>
      </c>
      <c r="L157" s="108" t="s">
        <v>439</v>
      </c>
      <c r="M157" s="107" t="s">
        <v>440</v>
      </c>
      <c r="N157" s="107" t="s">
        <v>169</v>
      </c>
      <c r="O157" s="110"/>
      <c r="P157" s="110"/>
      <c r="Q157" s="110"/>
      <c r="R157" s="110">
        <f>fdist(6.6,1,99)</f>
        <v>0.0116899317</v>
      </c>
      <c r="S157" s="110">
        <f>NORMINV(1-R157/2,0,1)</f>
        <v>2.521368631</v>
      </c>
      <c r="T157" s="110">
        <f>NORMDIST(S157,1.96,1,TRUE)</f>
        <v>0.712726868</v>
      </c>
      <c r="U157" s="126" t="s">
        <v>435</v>
      </c>
    </row>
    <row r="158">
      <c r="A158" s="7"/>
      <c r="B158" s="8">
        <v>69.0</v>
      </c>
      <c r="C158" s="14" t="s">
        <v>441</v>
      </c>
      <c r="D158" s="7" t="s">
        <v>442</v>
      </c>
      <c r="E158" s="11"/>
      <c r="F158" s="12"/>
      <c r="G158" s="12"/>
      <c r="H158" s="8"/>
      <c r="I158" s="8"/>
      <c r="J158" s="84"/>
      <c r="K158" s="16"/>
      <c r="L158" s="13"/>
      <c r="M158" s="15"/>
      <c r="N158" s="15"/>
      <c r="O158" s="15"/>
      <c r="P158" s="15"/>
      <c r="Q158" s="15"/>
      <c r="R158" s="15"/>
      <c r="S158" s="15"/>
      <c r="T158" s="15"/>
      <c r="U158" s="16"/>
    </row>
    <row r="159">
      <c r="A159" s="7"/>
      <c r="B159" s="8">
        <v>70.0</v>
      </c>
      <c r="C159" s="14" t="s">
        <v>443</v>
      </c>
      <c r="D159" s="7" t="s">
        <v>444</v>
      </c>
      <c r="E159" s="11"/>
      <c r="F159" s="12"/>
      <c r="G159" s="12"/>
      <c r="H159" s="8"/>
      <c r="I159" s="8"/>
      <c r="J159" s="84"/>
      <c r="K159" s="16"/>
      <c r="L159" s="13"/>
      <c r="M159" s="15"/>
      <c r="N159" s="15"/>
      <c r="O159" s="15"/>
      <c r="P159" s="15"/>
      <c r="Q159" s="15"/>
      <c r="R159" s="15"/>
      <c r="S159" s="15"/>
      <c r="T159" s="15"/>
      <c r="U159" s="16"/>
    </row>
    <row r="160">
      <c r="A160" s="7"/>
      <c r="B160" s="8">
        <v>71.0</v>
      </c>
      <c r="C160" s="14" t="s">
        <v>445</v>
      </c>
      <c r="D160" s="7" t="s">
        <v>56</v>
      </c>
      <c r="E160" s="11"/>
      <c r="F160" s="12"/>
      <c r="G160" s="12"/>
      <c r="H160" s="8"/>
      <c r="I160" s="8"/>
      <c r="J160" s="84"/>
      <c r="K160" s="16"/>
      <c r="L160" s="13"/>
      <c r="M160" s="15"/>
      <c r="N160" s="15"/>
      <c r="O160" s="15"/>
      <c r="P160" s="15"/>
      <c r="Q160" s="15"/>
      <c r="R160" s="15"/>
      <c r="S160" s="15"/>
      <c r="T160" s="15"/>
      <c r="U160" s="16"/>
    </row>
    <row r="161">
      <c r="A161" s="22"/>
      <c r="B161" s="24">
        <v>72.0</v>
      </c>
      <c r="C161" s="31" t="s">
        <v>446</v>
      </c>
      <c r="D161" s="33" t="s">
        <v>447</v>
      </c>
      <c r="E161" s="33" t="s">
        <v>32</v>
      </c>
      <c r="F161" s="35" t="s">
        <v>448</v>
      </c>
      <c r="G161" s="35">
        <v>2008.0</v>
      </c>
      <c r="H161" s="35"/>
      <c r="I161" s="35">
        <v>1.0</v>
      </c>
      <c r="J161" s="36">
        <v>1.0</v>
      </c>
      <c r="K161" s="37" t="s">
        <v>449</v>
      </c>
      <c r="L161" s="37" t="s">
        <v>450</v>
      </c>
      <c r="M161" s="39"/>
      <c r="N161" s="39"/>
      <c r="O161" s="39"/>
      <c r="P161" s="39"/>
      <c r="Q161" s="39"/>
      <c r="R161" s="39"/>
      <c r="S161" s="39"/>
      <c r="T161" s="39"/>
      <c r="U161" s="40" t="s">
        <v>451</v>
      </c>
    </row>
    <row r="162">
      <c r="A162" s="22"/>
      <c r="B162" s="74">
        <v>72.0</v>
      </c>
      <c r="C162" s="62"/>
      <c r="D162" s="127"/>
      <c r="E162" s="22"/>
      <c r="F162" s="62"/>
      <c r="G162" s="62"/>
      <c r="H162" s="62"/>
      <c r="I162" s="62">
        <v>1.0</v>
      </c>
      <c r="J162" s="63">
        <v>2.0</v>
      </c>
      <c r="K162" s="64" t="s">
        <v>452</v>
      </c>
      <c r="L162" s="128" t="s">
        <v>453</v>
      </c>
      <c r="M162" s="66"/>
      <c r="N162" s="66"/>
      <c r="O162" s="66"/>
      <c r="P162" s="66"/>
      <c r="Q162" s="66"/>
      <c r="R162" s="66"/>
      <c r="S162" s="66"/>
      <c r="T162" s="66"/>
      <c r="U162" s="67"/>
    </row>
    <row r="163">
      <c r="A163" s="41">
        <v>1.0</v>
      </c>
      <c r="B163" s="42">
        <v>72.0</v>
      </c>
      <c r="C163" s="43"/>
      <c r="D163" s="94"/>
      <c r="E163" s="41"/>
      <c r="F163" s="43"/>
      <c r="G163" s="43"/>
      <c r="H163" s="43">
        <v>1.0</v>
      </c>
      <c r="I163" s="43">
        <v>1.0</v>
      </c>
      <c r="J163" s="44" t="s">
        <v>53</v>
      </c>
      <c r="K163" s="45" t="s">
        <v>454</v>
      </c>
      <c r="L163" s="45" t="s">
        <v>455</v>
      </c>
      <c r="M163" s="44" t="s">
        <v>456</v>
      </c>
      <c r="N163" s="44" t="s">
        <v>275</v>
      </c>
      <c r="O163" s="47"/>
      <c r="P163" s="44" t="s">
        <v>457</v>
      </c>
      <c r="Q163" s="47"/>
      <c r="R163" s="47">
        <f>fdist(0.004,1,122)</f>
        <v>0.9496744769</v>
      </c>
      <c r="S163" s="47">
        <f>NORMINV(1-R163/2,0,1)</f>
        <v>0.06311556888</v>
      </c>
      <c r="T163" s="47">
        <f>NORMDIST(S163,1.96,1,TRUE)</f>
        <v>0.02892159634</v>
      </c>
      <c r="U163" s="50"/>
    </row>
    <row r="164">
      <c r="A164" s="22"/>
      <c r="B164" s="74">
        <v>72.0</v>
      </c>
      <c r="C164" s="62"/>
      <c r="D164" s="127"/>
      <c r="E164" s="22"/>
      <c r="F164" s="62"/>
      <c r="G164" s="62"/>
      <c r="H164" s="62"/>
      <c r="I164" s="62">
        <v>1.0</v>
      </c>
      <c r="J164" s="63" t="s">
        <v>65</v>
      </c>
      <c r="K164" s="64" t="s">
        <v>458</v>
      </c>
      <c r="L164" s="64" t="s">
        <v>459</v>
      </c>
      <c r="M164" s="66"/>
      <c r="N164" s="66"/>
      <c r="O164" s="66"/>
      <c r="P164" s="66"/>
      <c r="Q164" s="66"/>
      <c r="R164" s="66"/>
      <c r="S164" s="66"/>
      <c r="T164" s="66"/>
      <c r="U164" s="67"/>
    </row>
    <row r="165">
      <c r="A165" s="41"/>
      <c r="B165" s="42">
        <v>72.0</v>
      </c>
      <c r="C165" s="43"/>
      <c r="D165" s="94"/>
      <c r="E165" s="41"/>
      <c r="F165" s="43"/>
      <c r="G165" s="43"/>
      <c r="H165" s="43">
        <v>1.0</v>
      </c>
      <c r="I165" s="43">
        <v>1.0</v>
      </c>
      <c r="J165" s="44" t="s">
        <v>130</v>
      </c>
      <c r="K165" s="45" t="s">
        <v>460</v>
      </c>
      <c r="L165" s="45" t="s">
        <v>461</v>
      </c>
      <c r="M165" s="44" t="s">
        <v>462</v>
      </c>
      <c r="N165" s="44" t="s">
        <v>424</v>
      </c>
      <c r="O165" s="47"/>
      <c r="P165" s="123" t="s">
        <v>463</v>
      </c>
      <c r="Q165" s="47"/>
      <c r="R165" s="47">
        <f>fdist(29.32,1,122)</f>
        <v>0.0000003125923108</v>
      </c>
      <c r="S165" s="47">
        <f>NORMINV(1-R165/2,0,1)</f>
        <v>5.115692294</v>
      </c>
      <c r="T165" s="47">
        <f>NORMDIST(S165,1.96,1,TRUE)</f>
        <v>0.9991994116</v>
      </c>
      <c r="U165" s="50"/>
    </row>
    <row r="166">
      <c r="A166" s="22"/>
      <c r="B166" s="74">
        <v>72.0</v>
      </c>
      <c r="C166" s="62"/>
      <c r="D166" s="127"/>
      <c r="E166" s="22"/>
      <c r="F166" s="62"/>
      <c r="G166" s="62"/>
      <c r="H166" s="62"/>
      <c r="I166" s="62">
        <v>1.0</v>
      </c>
      <c r="J166" s="63" t="s">
        <v>134</v>
      </c>
      <c r="K166" s="64" t="s">
        <v>464</v>
      </c>
      <c r="L166" s="64" t="s">
        <v>465</v>
      </c>
      <c r="M166" s="66"/>
      <c r="N166" s="66"/>
      <c r="O166" s="66"/>
      <c r="P166" s="66"/>
      <c r="Q166" s="66"/>
      <c r="R166" s="66"/>
      <c r="S166" s="66"/>
      <c r="T166" s="66"/>
      <c r="U166" s="67"/>
    </row>
    <row r="167">
      <c r="A167" s="41"/>
      <c r="B167" s="42">
        <v>72.0</v>
      </c>
      <c r="C167" s="43"/>
      <c r="D167" s="94"/>
      <c r="E167" s="41"/>
      <c r="F167" s="43"/>
      <c r="G167" s="43"/>
      <c r="H167" s="43">
        <v>1.0</v>
      </c>
      <c r="I167" s="43">
        <v>1.0</v>
      </c>
      <c r="J167" s="44">
        <v>5.0</v>
      </c>
      <c r="K167" s="45" t="s">
        <v>466</v>
      </c>
      <c r="L167" s="45" t="s">
        <v>467</v>
      </c>
      <c r="M167" s="44" t="s">
        <v>468</v>
      </c>
      <c r="N167" s="44" t="s">
        <v>128</v>
      </c>
      <c r="O167" s="47"/>
      <c r="P167" s="44" t="s">
        <v>469</v>
      </c>
      <c r="Q167" s="47"/>
      <c r="R167" s="47">
        <f>fdist(18.62,1,122)</f>
        <v>0.00003261717206</v>
      </c>
      <c r="S167" s="47">
        <f t="shared" ref="S167:S169" si="26">NORMINV(1-R167/2,0,1)</f>
        <v>4.15437931</v>
      </c>
      <c r="T167" s="47">
        <f t="shared" ref="T167:T169" si="27">NORMDIST(S167,1.96,1,TRUE)</f>
        <v>0.985895924</v>
      </c>
      <c r="U167" s="50"/>
    </row>
    <row r="168">
      <c r="A168" s="41"/>
      <c r="B168" s="42">
        <v>72.0</v>
      </c>
      <c r="C168" s="43"/>
      <c r="D168" s="94"/>
      <c r="E168" s="41"/>
      <c r="F168" s="43"/>
      <c r="G168" s="43"/>
      <c r="H168" s="43">
        <v>1.0</v>
      </c>
      <c r="I168" s="43">
        <v>1.0</v>
      </c>
      <c r="J168" s="44">
        <v>6.0</v>
      </c>
      <c r="K168" s="45" t="s">
        <v>470</v>
      </c>
      <c r="L168" s="45" t="s">
        <v>471</v>
      </c>
      <c r="M168" s="44" t="s">
        <v>472</v>
      </c>
      <c r="N168" s="44" t="s">
        <v>128</v>
      </c>
      <c r="O168" s="47"/>
      <c r="P168" s="44" t="s">
        <v>473</v>
      </c>
      <c r="Q168" s="47"/>
      <c r="R168" s="47">
        <f>fdist(13.29,1,122)</f>
        <v>0.0003933331963</v>
      </c>
      <c r="S168" s="47">
        <f t="shared" si="26"/>
        <v>3.544516958</v>
      </c>
      <c r="T168" s="47">
        <f t="shared" si="27"/>
        <v>0.9434619371</v>
      </c>
      <c r="U168" s="50"/>
      <c r="V168" s="116" t="s">
        <v>474</v>
      </c>
    </row>
    <row r="169">
      <c r="A169" s="41">
        <v>1.0</v>
      </c>
      <c r="B169" s="42">
        <v>72.0</v>
      </c>
      <c r="C169" s="43"/>
      <c r="D169" s="94"/>
      <c r="E169" s="41"/>
      <c r="F169" s="43"/>
      <c r="G169" s="43"/>
      <c r="H169" s="43">
        <v>2.0</v>
      </c>
      <c r="I169" s="43">
        <v>2.0</v>
      </c>
      <c r="J169" s="44" t="s">
        <v>475</v>
      </c>
      <c r="K169" s="45" t="s">
        <v>476</v>
      </c>
      <c r="L169" s="45" t="s">
        <v>477</v>
      </c>
      <c r="M169" s="44" t="s">
        <v>478</v>
      </c>
      <c r="N169" s="44" t="s">
        <v>128</v>
      </c>
      <c r="O169" s="47"/>
      <c r="P169" s="44" t="s">
        <v>479</v>
      </c>
      <c r="Q169" s="47"/>
      <c r="R169" s="47">
        <f>fdist(117.72,1,56)</f>
        <v>0</v>
      </c>
      <c r="S169" s="47">
        <f t="shared" si="26"/>
        <v>7.928367935</v>
      </c>
      <c r="T169" s="47">
        <f t="shared" si="27"/>
        <v>0.9999999988</v>
      </c>
      <c r="U169" s="50"/>
    </row>
    <row r="170">
      <c r="A170" s="22"/>
      <c r="B170" s="74">
        <v>72.0</v>
      </c>
      <c r="C170" s="62"/>
      <c r="D170" s="127"/>
      <c r="E170" s="22"/>
      <c r="F170" s="62"/>
      <c r="G170" s="62"/>
      <c r="H170" s="62"/>
      <c r="I170" s="62">
        <v>2.0</v>
      </c>
      <c r="J170" s="63" t="s">
        <v>480</v>
      </c>
      <c r="K170" s="64" t="s">
        <v>481</v>
      </c>
      <c r="L170" s="64" t="s">
        <v>482</v>
      </c>
      <c r="M170" s="66"/>
      <c r="N170" s="66"/>
      <c r="O170" s="66"/>
      <c r="P170" s="66"/>
      <c r="Q170" s="66"/>
      <c r="R170" s="66"/>
      <c r="S170" s="66"/>
      <c r="T170" s="66"/>
      <c r="U170" s="67"/>
    </row>
    <row r="171">
      <c r="A171" s="41"/>
      <c r="B171" s="42">
        <v>72.0</v>
      </c>
      <c r="C171" s="43"/>
      <c r="D171" s="94"/>
      <c r="E171" s="41"/>
      <c r="F171" s="43"/>
      <c r="G171" s="43"/>
      <c r="H171" s="43">
        <v>2.0</v>
      </c>
      <c r="I171" s="43">
        <v>2.0</v>
      </c>
      <c r="J171" s="44" t="s">
        <v>483</v>
      </c>
      <c r="K171" s="45" t="s">
        <v>484</v>
      </c>
      <c r="L171" s="45" t="s">
        <v>485</v>
      </c>
      <c r="M171" s="44" t="s">
        <v>486</v>
      </c>
      <c r="N171" s="44" t="s">
        <v>128</v>
      </c>
      <c r="O171" s="47"/>
      <c r="P171" s="44" t="s">
        <v>487</v>
      </c>
      <c r="Q171" s="47"/>
      <c r="R171" s="47">
        <f>fdist(67.08,1,56)</f>
        <v>0</v>
      </c>
      <c r="S171" s="47">
        <f>NORMINV(1-R171/2,0,1)</f>
        <v>6.613074493</v>
      </c>
      <c r="T171" s="47">
        <f>NORMDIST(S171,1.96,1,TRUE)</f>
        <v>0.9999983649</v>
      </c>
      <c r="U171" s="50"/>
    </row>
    <row r="172">
      <c r="A172" s="22"/>
      <c r="B172" s="74">
        <v>72.0</v>
      </c>
      <c r="C172" s="62"/>
      <c r="D172" s="127"/>
      <c r="E172" s="22"/>
      <c r="F172" s="62"/>
      <c r="G172" s="62"/>
      <c r="H172" s="62"/>
      <c r="I172" s="62">
        <v>2.0</v>
      </c>
      <c r="J172" s="63" t="s">
        <v>488</v>
      </c>
      <c r="K172" s="64" t="s">
        <v>489</v>
      </c>
      <c r="L172" s="64" t="s">
        <v>490</v>
      </c>
      <c r="M172" s="66"/>
      <c r="N172" s="66"/>
      <c r="O172" s="66"/>
      <c r="P172" s="66"/>
      <c r="Q172" s="66"/>
      <c r="R172" s="66"/>
      <c r="S172" s="66"/>
      <c r="T172" s="66"/>
      <c r="U172" s="67"/>
    </row>
    <row r="173">
      <c r="A173" s="41">
        <v>1.0</v>
      </c>
      <c r="B173" s="42">
        <v>72.0</v>
      </c>
      <c r="C173" s="43"/>
      <c r="D173" s="94"/>
      <c r="E173" s="41"/>
      <c r="F173" s="43"/>
      <c r="G173" s="43"/>
      <c r="H173" s="43">
        <v>3.0</v>
      </c>
      <c r="I173" s="43">
        <v>3.0</v>
      </c>
      <c r="J173" s="44" t="s">
        <v>491</v>
      </c>
      <c r="K173" s="45" t="s">
        <v>492</v>
      </c>
      <c r="L173" s="45" t="s">
        <v>493</v>
      </c>
      <c r="M173" s="44" t="s">
        <v>494</v>
      </c>
      <c r="N173" s="44" t="s">
        <v>128</v>
      </c>
      <c r="O173" s="47"/>
      <c r="P173" s="44" t="s">
        <v>495</v>
      </c>
      <c r="Q173" s="47"/>
      <c r="R173" s="47">
        <f>fdist(25.55,1,91)</f>
        <v>0.000002215932116</v>
      </c>
      <c r="S173" s="47">
        <f>NORMINV(1-R173/2,0,1)</f>
        <v>4.732663019</v>
      </c>
      <c r="T173" s="47">
        <f>NORMDIST(S173,1.96,1,TRUE)</f>
        <v>0.9972200168</v>
      </c>
      <c r="U173" s="50"/>
    </row>
    <row r="174">
      <c r="A174" s="22"/>
      <c r="B174" s="74">
        <v>72.0</v>
      </c>
      <c r="C174" s="62"/>
      <c r="D174" s="127"/>
      <c r="E174" s="22"/>
      <c r="F174" s="62"/>
      <c r="G174" s="62"/>
      <c r="H174" s="62"/>
      <c r="I174" s="62">
        <v>3.0</v>
      </c>
      <c r="J174" s="63" t="s">
        <v>496</v>
      </c>
      <c r="K174" s="64" t="s">
        <v>497</v>
      </c>
      <c r="L174" s="64" t="s">
        <v>498</v>
      </c>
      <c r="M174" s="66"/>
      <c r="N174" s="66"/>
      <c r="O174" s="66"/>
      <c r="P174" s="66"/>
      <c r="Q174" s="66"/>
      <c r="R174" s="66"/>
      <c r="S174" s="66"/>
      <c r="T174" s="66"/>
      <c r="U174" s="67"/>
    </row>
    <row r="175">
      <c r="A175" s="41"/>
      <c r="B175" s="42">
        <v>72.0</v>
      </c>
      <c r="C175" s="43"/>
      <c r="D175" s="94"/>
      <c r="E175" s="41"/>
      <c r="F175" s="43"/>
      <c r="G175" s="43"/>
      <c r="H175" s="43">
        <v>3.0</v>
      </c>
      <c r="I175" s="43">
        <v>3.0</v>
      </c>
      <c r="J175" s="44" t="s">
        <v>499</v>
      </c>
      <c r="K175" s="45" t="s">
        <v>500</v>
      </c>
      <c r="L175" s="45" t="s">
        <v>501</v>
      </c>
      <c r="M175" s="44" t="s">
        <v>502</v>
      </c>
      <c r="N175" s="44" t="s">
        <v>128</v>
      </c>
      <c r="O175" s="47"/>
      <c r="P175" s="44" t="s">
        <v>503</v>
      </c>
      <c r="Q175" s="47"/>
      <c r="R175" s="47">
        <f>fdist(52.48,1,91)</f>
        <v>0.0000000001362205904</v>
      </c>
      <c r="S175" s="47">
        <f>NORMINV(1-R175/2,0,1)</f>
        <v>6.420060057</v>
      </c>
      <c r="T175" s="47">
        <f>NORMDIST(S175,1.96,1,TRUE)</f>
        <v>0.9999959032</v>
      </c>
      <c r="U175" s="50"/>
    </row>
    <row r="176">
      <c r="A176" s="22"/>
      <c r="B176" s="74">
        <v>72.0</v>
      </c>
      <c r="C176" s="62"/>
      <c r="D176" s="127"/>
      <c r="E176" s="22"/>
      <c r="F176" s="62"/>
      <c r="G176" s="62"/>
      <c r="H176" s="62"/>
      <c r="I176" s="62">
        <v>3.0</v>
      </c>
      <c r="J176" s="63" t="s">
        <v>504</v>
      </c>
      <c r="K176" s="64" t="s">
        <v>505</v>
      </c>
      <c r="L176" s="64" t="s">
        <v>506</v>
      </c>
      <c r="M176" s="66"/>
      <c r="N176" s="66"/>
      <c r="O176" s="66"/>
      <c r="P176" s="66"/>
      <c r="Q176" s="66"/>
      <c r="R176" s="66"/>
      <c r="S176" s="66"/>
      <c r="T176" s="66"/>
      <c r="U176" s="67"/>
    </row>
    <row r="177">
      <c r="A177" s="22"/>
      <c r="B177" s="74">
        <v>72.0</v>
      </c>
      <c r="C177" s="62"/>
      <c r="D177" s="127"/>
      <c r="E177" s="22"/>
      <c r="F177" s="62"/>
      <c r="G177" s="62"/>
      <c r="H177" s="62"/>
      <c r="I177" s="62">
        <v>3.0</v>
      </c>
      <c r="J177" s="63">
        <v>11.0</v>
      </c>
      <c r="K177" s="64" t="s">
        <v>507</v>
      </c>
      <c r="L177" s="64" t="s">
        <v>508</v>
      </c>
      <c r="M177" s="66"/>
      <c r="N177" s="66"/>
      <c r="O177" s="66"/>
      <c r="P177" s="66"/>
      <c r="Q177" s="66"/>
      <c r="R177" s="66"/>
      <c r="S177" s="66"/>
      <c r="T177" s="66"/>
      <c r="U177" s="67"/>
    </row>
    <row r="178">
      <c r="A178" s="22"/>
      <c r="B178" s="74">
        <v>72.0</v>
      </c>
      <c r="C178" s="62"/>
      <c r="D178" s="127"/>
      <c r="E178" s="22"/>
      <c r="F178" s="62"/>
      <c r="G178" s="62"/>
      <c r="H178" s="62"/>
      <c r="I178" s="62">
        <v>3.0</v>
      </c>
      <c r="J178" s="63" t="s">
        <v>509</v>
      </c>
      <c r="K178" s="64" t="s">
        <v>510</v>
      </c>
      <c r="L178" s="128" t="s">
        <v>453</v>
      </c>
      <c r="M178" s="66"/>
      <c r="N178" s="66"/>
      <c r="O178" s="66"/>
      <c r="P178" s="66"/>
      <c r="Q178" s="66"/>
      <c r="R178" s="66"/>
      <c r="S178" s="66"/>
      <c r="T178" s="66"/>
      <c r="U178" s="67"/>
    </row>
    <row r="179">
      <c r="A179" s="22"/>
      <c r="B179" s="104">
        <v>72.0</v>
      </c>
      <c r="C179" s="105"/>
      <c r="D179" s="129"/>
      <c r="E179" s="106"/>
      <c r="F179" s="105"/>
      <c r="G179" s="105"/>
      <c r="H179" s="105"/>
      <c r="I179" s="105">
        <v>3.0</v>
      </c>
      <c r="J179" s="107" t="s">
        <v>511</v>
      </c>
      <c r="K179" s="108"/>
      <c r="L179" s="130" t="s">
        <v>453</v>
      </c>
      <c r="M179" s="110"/>
      <c r="N179" s="110"/>
      <c r="O179" s="110"/>
      <c r="P179" s="110"/>
      <c r="Q179" s="110"/>
      <c r="R179" s="110"/>
      <c r="S179" s="110"/>
      <c r="T179" s="110"/>
      <c r="U179" s="111"/>
    </row>
    <row r="180">
      <c r="A180" s="7"/>
      <c r="B180" s="8">
        <v>73.0</v>
      </c>
      <c r="C180" s="14" t="s">
        <v>512</v>
      </c>
      <c r="D180" s="11"/>
      <c r="E180" s="7" t="s">
        <v>61</v>
      </c>
      <c r="F180" s="8" t="s">
        <v>513</v>
      </c>
      <c r="G180" s="8">
        <v>2017.0</v>
      </c>
      <c r="H180" s="8"/>
      <c r="I180" s="8"/>
      <c r="J180" s="84"/>
      <c r="K180" s="16"/>
      <c r="L180" s="13"/>
      <c r="M180" s="15"/>
      <c r="N180" s="15"/>
      <c r="O180" s="15"/>
      <c r="P180" s="15"/>
      <c r="Q180" s="15"/>
      <c r="R180" s="15"/>
      <c r="S180" s="15"/>
      <c r="T180" s="15"/>
      <c r="U180" s="16"/>
    </row>
    <row r="181">
      <c r="A181" s="41">
        <v>1.0</v>
      </c>
      <c r="B181" s="86">
        <v>74.0</v>
      </c>
      <c r="C181" s="87" t="s">
        <v>514</v>
      </c>
      <c r="D181" s="88" t="s">
        <v>515</v>
      </c>
      <c r="E181" s="88" t="s">
        <v>32</v>
      </c>
      <c r="F181" s="89" t="s">
        <v>516</v>
      </c>
      <c r="G181" s="89">
        <v>2007.0</v>
      </c>
      <c r="H181" s="89">
        <v>1.0</v>
      </c>
      <c r="I181" s="89">
        <v>1.0</v>
      </c>
      <c r="J181" s="90">
        <v>1.0</v>
      </c>
      <c r="K181" s="89" t="s">
        <v>517</v>
      </c>
      <c r="L181" s="91" t="s">
        <v>518</v>
      </c>
      <c r="M181" s="90" t="s">
        <v>519</v>
      </c>
      <c r="N181" s="90" t="s">
        <v>128</v>
      </c>
      <c r="O181" s="92"/>
      <c r="P181" s="92"/>
      <c r="Q181" s="92"/>
      <c r="R181" s="92">
        <f>TDIST(3.58,53,2)</f>
        <v>0.0007452873139</v>
      </c>
      <c r="S181" s="92">
        <f t="shared" ref="S181:S184" si="28">NORMINV(1-R181/2,0,1)</f>
        <v>3.372353469</v>
      </c>
      <c r="T181" s="92">
        <f t="shared" ref="T181:T184" si="29">NORMDIST(S181,1.96,1,TRUE)</f>
        <v>0.9210770449</v>
      </c>
      <c r="U181" s="93"/>
    </row>
    <row r="182">
      <c r="A182" s="41"/>
      <c r="B182" s="42">
        <v>74.0</v>
      </c>
      <c r="C182" s="43"/>
      <c r="D182" s="41"/>
      <c r="E182" s="41"/>
      <c r="F182" s="43"/>
      <c r="G182" s="43"/>
      <c r="H182" s="43">
        <v>1.0</v>
      </c>
      <c r="I182" s="43">
        <v>1.0</v>
      </c>
      <c r="J182" s="44">
        <v>2.0</v>
      </c>
      <c r="K182" s="45" t="s">
        <v>520</v>
      </c>
      <c r="L182" s="45" t="s">
        <v>521</v>
      </c>
      <c r="M182" s="44" t="s">
        <v>522</v>
      </c>
      <c r="N182" s="44" t="s">
        <v>169</v>
      </c>
      <c r="O182" s="47"/>
      <c r="P182" s="47"/>
      <c r="Q182" s="47"/>
      <c r="R182" s="47">
        <f>TDIST(2.59,53,2)</f>
        <v>0.01236613759</v>
      </c>
      <c r="S182" s="131">
        <f t="shared" si="28"/>
        <v>2.501520236</v>
      </c>
      <c r="T182" s="47">
        <f t="shared" si="29"/>
        <v>0.7059254733</v>
      </c>
      <c r="U182" s="50"/>
    </row>
    <row r="183">
      <c r="A183" s="41"/>
      <c r="B183" s="42">
        <v>74.0</v>
      </c>
      <c r="C183" s="43"/>
      <c r="D183" s="41"/>
      <c r="E183" s="41"/>
      <c r="F183" s="43"/>
      <c r="G183" s="43"/>
      <c r="H183" s="43">
        <v>1.0</v>
      </c>
      <c r="I183" s="43">
        <v>1.0</v>
      </c>
      <c r="J183" s="44">
        <v>3.0</v>
      </c>
      <c r="K183" s="45" t="s">
        <v>523</v>
      </c>
      <c r="L183" s="45" t="s">
        <v>524</v>
      </c>
      <c r="M183" s="44" t="s">
        <v>525</v>
      </c>
      <c r="N183" s="44" t="s">
        <v>169</v>
      </c>
      <c r="O183" s="47"/>
      <c r="P183" s="44"/>
      <c r="Q183" s="44" t="s">
        <v>526</v>
      </c>
      <c r="R183" s="47">
        <f>TDIST(2.21,51,2)</f>
        <v>0.03161938407</v>
      </c>
      <c r="S183" s="47">
        <f t="shared" si="28"/>
        <v>2.149189463</v>
      </c>
      <c r="T183" s="47">
        <f t="shared" si="29"/>
        <v>0.5750278369</v>
      </c>
      <c r="U183" s="50"/>
    </row>
    <row r="184">
      <c r="A184" s="41"/>
      <c r="B184" s="83">
        <v>74.0</v>
      </c>
      <c r="C184" s="75"/>
      <c r="D184" s="76"/>
      <c r="E184" s="76"/>
      <c r="F184" s="75"/>
      <c r="G184" s="75"/>
      <c r="H184" s="75">
        <v>1.0</v>
      </c>
      <c r="I184" s="75">
        <v>1.0</v>
      </c>
      <c r="J184" s="77">
        <v>4.0</v>
      </c>
      <c r="K184" s="78" t="s">
        <v>527</v>
      </c>
      <c r="L184" s="78" t="s">
        <v>528</v>
      </c>
      <c r="M184" s="77" t="s">
        <v>529</v>
      </c>
      <c r="N184" s="77" t="s">
        <v>169</v>
      </c>
      <c r="O184" s="80"/>
      <c r="P184" s="77"/>
      <c r="Q184" s="77" t="s">
        <v>530</v>
      </c>
      <c r="R184" s="80">
        <f>TDIST(2.13,51,2)</f>
        <v>0.03801779074</v>
      </c>
      <c r="S184" s="80">
        <f t="shared" si="28"/>
        <v>2.074662869</v>
      </c>
      <c r="T184" s="80">
        <f t="shared" si="29"/>
        <v>0.5456438272</v>
      </c>
      <c r="U184" s="81"/>
    </row>
    <row r="185">
      <c r="A185" s="7"/>
      <c r="B185" s="8">
        <v>75.0</v>
      </c>
      <c r="C185" s="14" t="s">
        <v>531</v>
      </c>
      <c r="D185" s="11"/>
      <c r="E185" s="11"/>
      <c r="F185" s="8" t="s">
        <v>532</v>
      </c>
      <c r="G185" s="8">
        <v>2009.0</v>
      </c>
      <c r="H185" s="8"/>
      <c r="I185" s="8"/>
      <c r="J185" s="84"/>
      <c r="K185" s="16"/>
      <c r="L185" s="13"/>
      <c r="M185" s="15"/>
      <c r="N185" s="15"/>
      <c r="O185" s="15"/>
      <c r="P185" s="15"/>
      <c r="Q185" s="15"/>
      <c r="R185" s="15"/>
      <c r="S185" s="15"/>
      <c r="T185" s="15"/>
      <c r="U185" s="16"/>
    </row>
    <row r="186">
      <c r="A186" s="7"/>
      <c r="B186" s="8">
        <v>76.0</v>
      </c>
      <c r="C186" s="14" t="s">
        <v>533</v>
      </c>
      <c r="D186" s="7" t="s">
        <v>56</v>
      </c>
      <c r="E186" s="11"/>
      <c r="F186" s="8" t="s">
        <v>534</v>
      </c>
      <c r="G186" s="8">
        <v>2012.0</v>
      </c>
      <c r="H186" s="8"/>
      <c r="I186" s="8"/>
      <c r="J186" s="84"/>
      <c r="K186" s="16"/>
      <c r="L186" s="13"/>
      <c r="M186" s="15"/>
      <c r="N186" s="15"/>
      <c r="O186" s="15"/>
      <c r="P186" s="15"/>
      <c r="Q186" s="15"/>
      <c r="R186" s="15"/>
      <c r="S186" s="15"/>
      <c r="T186" s="15"/>
      <c r="U186" s="16"/>
    </row>
    <row r="187">
      <c r="A187" s="7"/>
      <c r="B187" s="8">
        <v>77.0</v>
      </c>
      <c r="C187" s="14" t="s">
        <v>535</v>
      </c>
      <c r="D187" s="7" t="s">
        <v>536</v>
      </c>
      <c r="E187" s="11"/>
      <c r="F187" s="8" t="s">
        <v>537</v>
      </c>
      <c r="G187" s="8">
        <v>2009.0</v>
      </c>
      <c r="H187" s="8"/>
      <c r="I187" s="8"/>
      <c r="J187" s="84"/>
      <c r="K187" s="16"/>
      <c r="L187" s="13"/>
      <c r="M187" s="15"/>
      <c r="N187" s="15"/>
      <c r="O187" s="15"/>
      <c r="P187" s="15"/>
      <c r="Q187" s="15"/>
      <c r="R187" s="15"/>
      <c r="S187" s="15"/>
      <c r="T187" s="15"/>
      <c r="U187" s="16"/>
    </row>
    <row r="188">
      <c r="A188" s="7"/>
      <c r="B188" s="8">
        <v>78.0</v>
      </c>
      <c r="C188" s="14" t="s">
        <v>538</v>
      </c>
      <c r="D188" s="7" t="s">
        <v>56</v>
      </c>
      <c r="E188" s="7"/>
      <c r="F188" s="132" t="s">
        <v>539</v>
      </c>
      <c r="G188" s="8">
        <v>2012.0</v>
      </c>
      <c r="H188" s="8"/>
      <c r="I188" s="8"/>
      <c r="J188" s="84"/>
      <c r="K188" s="16"/>
      <c r="L188" s="13"/>
      <c r="M188" s="15"/>
      <c r="N188" s="15"/>
      <c r="O188" s="15"/>
      <c r="P188" s="15"/>
      <c r="Q188" s="15"/>
      <c r="R188" s="15"/>
      <c r="S188" s="15"/>
      <c r="T188" s="15"/>
      <c r="U188" s="16"/>
    </row>
    <row r="189">
      <c r="A189" s="22"/>
      <c r="B189" s="24">
        <v>79.0</v>
      </c>
      <c r="C189" s="31" t="s">
        <v>540</v>
      </c>
      <c r="D189" s="33" t="s">
        <v>48</v>
      </c>
      <c r="E189" s="33" t="s">
        <v>32</v>
      </c>
      <c r="F189" s="35" t="s">
        <v>541</v>
      </c>
      <c r="G189" s="35">
        <v>2002.0</v>
      </c>
      <c r="H189" s="35"/>
      <c r="I189" s="35">
        <v>1.0</v>
      </c>
      <c r="J189" s="36">
        <v>1.0</v>
      </c>
      <c r="K189" s="37" t="s">
        <v>542</v>
      </c>
      <c r="L189" s="37" t="s">
        <v>543</v>
      </c>
      <c r="M189" s="36" t="s">
        <v>544</v>
      </c>
      <c r="N189" s="36" t="s">
        <v>128</v>
      </c>
      <c r="O189" s="39"/>
      <c r="P189" s="39"/>
      <c r="Q189" s="39"/>
      <c r="R189" s="39">
        <f>FDIST(9.61,1,33)</f>
        <v>0.003942530564</v>
      </c>
      <c r="S189" s="39">
        <f t="shared" ref="S189:S191" si="30">NORMINV(1-R189/2,0,1)</f>
        <v>2.882723727</v>
      </c>
      <c r="T189" s="39">
        <f t="shared" ref="T189:T191" si="31">NORMDIST(S189,1.96,1,TRUE)</f>
        <v>0.821924401</v>
      </c>
      <c r="U189" s="40" t="s">
        <v>545</v>
      </c>
    </row>
    <row r="190">
      <c r="A190" s="41">
        <v>1.0</v>
      </c>
      <c r="B190" s="42">
        <v>79.0</v>
      </c>
      <c r="C190" s="43"/>
      <c r="D190" s="133"/>
      <c r="E190" s="94"/>
      <c r="F190" s="43"/>
      <c r="G190" s="43"/>
      <c r="H190" s="43">
        <v>1.0</v>
      </c>
      <c r="I190" s="43">
        <v>1.0</v>
      </c>
      <c r="J190" s="44">
        <v>2.0</v>
      </c>
      <c r="K190" s="45" t="s">
        <v>546</v>
      </c>
      <c r="L190" s="45" t="s">
        <v>547</v>
      </c>
      <c r="M190" s="44" t="s">
        <v>548</v>
      </c>
      <c r="N190" s="44" t="s">
        <v>119</v>
      </c>
      <c r="O190" s="47"/>
      <c r="P190" s="47"/>
      <c r="Q190" s="47"/>
      <c r="R190" s="47">
        <f>FDIST(6.81,1,364)</f>
        <v>0.009438922057</v>
      </c>
      <c r="S190" s="47">
        <f t="shared" si="30"/>
        <v>2.595733588</v>
      </c>
      <c r="T190" s="47">
        <f t="shared" si="31"/>
        <v>0.73752496</v>
      </c>
      <c r="U190" s="50"/>
    </row>
    <row r="191">
      <c r="A191" s="22"/>
      <c r="B191" s="74">
        <v>79.0</v>
      </c>
      <c r="C191" s="62"/>
      <c r="D191" s="134"/>
      <c r="E191" s="127"/>
      <c r="F191" s="62"/>
      <c r="G191" s="62"/>
      <c r="H191" s="62"/>
      <c r="I191" s="62">
        <v>1.0</v>
      </c>
      <c r="J191" s="63">
        <v>2.0</v>
      </c>
      <c r="K191" s="64" t="s">
        <v>549</v>
      </c>
      <c r="L191" s="65"/>
      <c r="M191" s="135" t="s">
        <v>550</v>
      </c>
      <c r="N191" s="63" t="s">
        <v>169</v>
      </c>
      <c r="O191" s="66"/>
      <c r="P191" s="66"/>
      <c r="Q191" s="66"/>
      <c r="R191" s="66">
        <f>FDIST(3.56,1,364)</f>
        <v>0.05998335237</v>
      </c>
      <c r="S191" s="66">
        <f t="shared" si="30"/>
        <v>1.880915954</v>
      </c>
      <c r="T191" s="66">
        <f t="shared" si="31"/>
        <v>0.4684828865</v>
      </c>
      <c r="U191" s="67" t="s">
        <v>551</v>
      </c>
    </row>
    <row r="192">
      <c r="A192" s="22"/>
      <c r="B192" s="104">
        <v>79.0</v>
      </c>
      <c r="C192" s="105"/>
      <c r="D192" s="136"/>
      <c r="E192" s="129"/>
      <c r="F192" s="105"/>
      <c r="G192" s="105"/>
      <c r="H192" s="105"/>
      <c r="I192" s="105">
        <v>1.0</v>
      </c>
      <c r="J192" s="107">
        <v>3.0</v>
      </c>
      <c r="K192" s="108" t="s">
        <v>552</v>
      </c>
      <c r="L192" s="108" t="s">
        <v>553</v>
      </c>
      <c r="M192" s="110"/>
      <c r="N192" s="110"/>
      <c r="O192" s="110"/>
      <c r="P192" s="110"/>
      <c r="Q192" s="110"/>
      <c r="R192" s="110"/>
      <c r="S192" s="110"/>
      <c r="T192" s="110"/>
      <c r="U192" s="111"/>
    </row>
    <row r="193">
      <c r="A193" s="7"/>
      <c r="B193" s="8">
        <v>80.0</v>
      </c>
      <c r="C193" s="14" t="s">
        <v>554</v>
      </c>
      <c r="D193" s="137" t="s">
        <v>555</v>
      </c>
      <c r="E193" s="11"/>
      <c r="F193" s="8" t="s">
        <v>556</v>
      </c>
      <c r="G193" s="8">
        <v>2006.0</v>
      </c>
      <c r="H193" s="8"/>
      <c r="I193" s="8"/>
      <c r="J193" s="84"/>
      <c r="K193" s="16"/>
      <c r="L193" s="13"/>
      <c r="M193" s="15"/>
      <c r="N193" s="15"/>
      <c r="O193" s="15"/>
      <c r="P193" s="15"/>
      <c r="Q193" s="15"/>
      <c r="R193" s="15"/>
      <c r="S193" s="15"/>
      <c r="T193" s="15"/>
      <c r="U193" s="16"/>
    </row>
    <row r="194">
      <c r="A194" s="41">
        <v>1.0</v>
      </c>
      <c r="B194" s="86">
        <v>81.0</v>
      </c>
      <c r="C194" s="87" t="s">
        <v>557</v>
      </c>
      <c r="D194" s="88" t="s">
        <v>48</v>
      </c>
      <c r="E194" s="88" t="s">
        <v>32</v>
      </c>
      <c r="F194" s="89" t="s">
        <v>558</v>
      </c>
      <c r="G194" s="89">
        <v>2015.0</v>
      </c>
      <c r="H194" s="89">
        <v>1.0</v>
      </c>
      <c r="I194" s="89">
        <v>1.0</v>
      </c>
      <c r="J194" s="90">
        <v>1.0</v>
      </c>
      <c r="K194" s="91" t="s">
        <v>559</v>
      </c>
      <c r="L194" s="91" t="s">
        <v>560</v>
      </c>
      <c r="M194" s="90" t="s">
        <v>561</v>
      </c>
      <c r="N194" s="90" t="s">
        <v>562</v>
      </c>
      <c r="O194" s="92"/>
      <c r="P194" s="92"/>
      <c r="Q194" s="92"/>
      <c r="R194" s="92">
        <f>tdist(2.1,56,2)</f>
        <v>0.04024621438</v>
      </c>
      <c r="S194" s="92">
        <f>NORMINV(1-R194/2,0,1)</f>
        <v>2.051212938</v>
      </c>
      <c r="T194" s="92">
        <f>NORMDIST(S194,1.96,1,TRUE)</f>
        <v>0.5363383024</v>
      </c>
      <c r="U194" s="93"/>
    </row>
    <row r="195">
      <c r="A195" s="22"/>
      <c r="B195" s="74">
        <v>81.0</v>
      </c>
      <c r="C195" s="62"/>
      <c r="D195" s="22"/>
      <c r="E195" s="22"/>
      <c r="F195" s="62"/>
      <c r="G195" s="62"/>
      <c r="H195" s="62"/>
      <c r="I195" s="62">
        <v>1.0</v>
      </c>
      <c r="J195" s="63">
        <v>2.0</v>
      </c>
      <c r="K195" s="64" t="s">
        <v>563</v>
      </c>
      <c r="L195" s="64"/>
      <c r="M195" s="66"/>
      <c r="N195" s="66"/>
      <c r="O195" s="66"/>
      <c r="P195" s="66"/>
      <c r="Q195" s="63" t="s">
        <v>564</v>
      </c>
      <c r="R195" s="66"/>
      <c r="S195" s="66"/>
      <c r="T195" s="66"/>
      <c r="U195" s="67" t="s">
        <v>565</v>
      </c>
      <c r="V195" s="125"/>
      <c r="W195" s="125"/>
      <c r="X195" s="125"/>
      <c r="Y195" s="125"/>
      <c r="Z195" s="125"/>
      <c r="AA195" s="125"/>
      <c r="AB195" s="125"/>
      <c r="AC195" s="125"/>
      <c r="AD195" s="125"/>
      <c r="AE195" s="125"/>
      <c r="AF195" s="125"/>
      <c r="AG195" s="125"/>
      <c r="AH195" s="125"/>
      <c r="AI195" s="125"/>
      <c r="AJ195" s="125"/>
      <c r="AK195" s="125"/>
      <c r="AL195" s="125"/>
    </row>
    <row r="196">
      <c r="A196" s="41">
        <v>1.0</v>
      </c>
      <c r="B196" s="42">
        <v>81.0</v>
      </c>
      <c r="C196" s="43"/>
      <c r="D196" s="41"/>
      <c r="E196" s="41"/>
      <c r="F196" s="43"/>
      <c r="G196" s="43"/>
      <c r="H196" s="43">
        <v>2.0</v>
      </c>
      <c r="I196" s="43">
        <v>2.0</v>
      </c>
      <c r="J196" s="44">
        <v>1.0</v>
      </c>
      <c r="K196" s="45" t="s">
        <v>566</v>
      </c>
      <c r="L196" s="45" t="s">
        <v>567</v>
      </c>
      <c r="M196" s="44" t="s">
        <v>568</v>
      </c>
      <c r="N196" s="44" t="s">
        <v>569</v>
      </c>
      <c r="O196" s="47"/>
      <c r="P196" s="47"/>
      <c r="Q196" s="47"/>
      <c r="R196" s="47">
        <f>TDIST(3.11,49,2)</f>
        <v>0.003115094051</v>
      </c>
      <c r="S196" s="47">
        <f t="shared" ref="S196:S197" si="32">NORMINV(1-R196/2,0,1)</f>
        <v>2.956146188</v>
      </c>
      <c r="T196" s="47">
        <f t="shared" ref="T196:T197" si="33">NORMDIST(S196,1.96,1,TRUE)</f>
        <v>0.8404104395</v>
      </c>
      <c r="U196" s="50"/>
    </row>
    <row r="197">
      <c r="A197" s="41">
        <v>1.0</v>
      </c>
      <c r="B197" s="83">
        <v>81.0</v>
      </c>
      <c r="C197" s="75"/>
      <c r="D197" s="76"/>
      <c r="E197" s="76"/>
      <c r="F197" s="75"/>
      <c r="G197" s="75"/>
      <c r="H197" s="75">
        <v>3.0</v>
      </c>
      <c r="I197" s="75">
        <v>5.0</v>
      </c>
      <c r="J197" s="77">
        <v>3.0</v>
      </c>
      <c r="K197" s="78" t="s">
        <v>570</v>
      </c>
      <c r="L197" s="78" t="s">
        <v>571</v>
      </c>
      <c r="M197" s="77" t="s">
        <v>572</v>
      </c>
      <c r="N197" s="77" t="s">
        <v>573</v>
      </c>
      <c r="O197" s="80"/>
      <c r="P197" s="80"/>
      <c r="Q197" s="80"/>
      <c r="R197" s="80">
        <f>FDIST(5.74,1,75)</f>
        <v>0.01907717387</v>
      </c>
      <c r="S197" s="80">
        <f t="shared" si="32"/>
        <v>2.344019502</v>
      </c>
      <c r="T197" s="80">
        <f t="shared" si="33"/>
        <v>0.6495180036</v>
      </c>
      <c r="U197" s="81"/>
    </row>
    <row r="198">
      <c r="A198" s="7"/>
      <c r="B198" s="8">
        <v>82.0</v>
      </c>
      <c r="C198" s="14" t="s">
        <v>574</v>
      </c>
      <c r="D198" s="7" t="s">
        <v>22</v>
      </c>
      <c r="E198" s="11"/>
      <c r="F198" s="8" t="s">
        <v>575</v>
      </c>
      <c r="G198" s="8">
        <v>2008.0</v>
      </c>
      <c r="H198" s="8"/>
      <c r="I198" s="8"/>
      <c r="J198" s="84"/>
      <c r="K198" s="16"/>
      <c r="L198" s="13"/>
      <c r="M198" s="15"/>
      <c r="N198" s="15"/>
      <c r="O198" s="15"/>
      <c r="P198" s="15"/>
      <c r="Q198" s="15"/>
      <c r="R198" s="15"/>
      <c r="S198" s="15"/>
      <c r="T198" s="15"/>
      <c r="U198" s="16"/>
    </row>
    <row r="199">
      <c r="A199" s="22"/>
      <c r="B199" s="24">
        <v>83.0</v>
      </c>
      <c r="C199" s="31" t="s">
        <v>576</v>
      </c>
      <c r="D199" s="33" t="s">
        <v>48</v>
      </c>
      <c r="E199" s="33" t="s">
        <v>32</v>
      </c>
      <c r="F199" s="35" t="s">
        <v>577</v>
      </c>
      <c r="G199" s="35">
        <v>2008.0</v>
      </c>
      <c r="H199" s="35"/>
      <c r="I199" s="35">
        <v>1.0</v>
      </c>
      <c r="J199" s="36">
        <v>1.0</v>
      </c>
      <c r="K199" s="37" t="s">
        <v>578</v>
      </c>
      <c r="L199" s="38"/>
      <c r="M199" s="39"/>
      <c r="N199" s="39"/>
      <c r="O199" s="39"/>
      <c r="P199" s="39"/>
      <c r="Q199" s="39"/>
      <c r="R199" s="39"/>
      <c r="S199" s="39"/>
      <c r="T199" s="39"/>
      <c r="U199" s="40"/>
      <c r="V199" s="125"/>
      <c r="W199" s="125"/>
      <c r="X199" s="125"/>
      <c r="Y199" s="125"/>
      <c r="Z199" s="125"/>
      <c r="AA199" s="125"/>
      <c r="AB199" s="125"/>
      <c r="AC199" s="125"/>
      <c r="AD199" s="125"/>
      <c r="AE199" s="125"/>
      <c r="AF199" s="125"/>
      <c r="AG199" s="125"/>
      <c r="AH199" s="125"/>
      <c r="AI199" s="125"/>
      <c r="AJ199" s="125"/>
      <c r="AK199" s="125"/>
      <c r="AL199" s="125"/>
    </row>
    <row r="200">
      <c r="A200" s="41">
        <v>1.0</v>
      </c>
      <c r="B200" s="42">
        <v>83.0</v>
      </c>
      <c r="C200" s="43"/>
      <c r="D200" s="41"/>
      <c r="E200" s="41"/>
      <c r="F200" s="43"/>
      <c r="G200" s="43"/>
      <c r="H200" s="43">
        <v>1.0</v>
      </c>
      <c r="I200" s="43">
        <v>1.0</v>
      </c>
      <c r="J200" s="44">
        <v>2.0</v>
      </c>
      <c r="K200" s="45" t="s">
        <v>579</v>
      </c>
      <c r="L200" s="45" t="s">
        <v>580</v>
      </c>
      <c r="M200" s="44" t="s">
        <v>581</v>
      </c>
      <c r="N200" s="44" t="s">
        <v>169</v>
      </c>
      <c r="O200" s="47"/>
      <c r="P200" s="47"/>
      <c r="Q200" s="47"/>
      <c r="R200" s="47">
        <f>FDIST(6.91,5,112)</f>
        <v>0.00001172720733</v>
      </c>
      <c r="S200" s="47">
        <f t="shared" ref="S200:S204" si="34">NORMINV(1-R200/2,0,1)</f>
        <v>4.382598582</v>
      </c>
      <c r="T200" s="47">
        <f t="shared" ref="T200:T204" si="35">NORMDIST(S200,1.96,1,TRUE)</f>
        <v>0.992295028</v>
      </c>
      <c r="U200" s="50"/>
    </row>
    <row r="201">
      <c r="A201" s="41"/>
      <c r="B201" s="42">
        <v>83.0</v>
      </c>
      <c r="C201" s="43"/>
      <c r="D201" s="41"/>
      <c r="E201" s="41"/>
      <c r="F201" s="43"/>
      <c r="G201" s="43"/>
      <c r="H201" s="43">
        <v>1.0</v>
      </c>
      <c r="I201" s="43">
        <v>1.0</v>
      </c>
      <c r="J201" s="44">
        <v>3.0</v>
      </c>
      <c r="K201" s="45" t="s">
        <v>582</v>
      </c>
      <c r="L201" s="45" t="s">
        <v>583</v>
      </c>
      <c r="M201" s="44" t="s">
        <v>584</v>
      </c>
      <c r="N201" s="44" t="s">
        <v>119</v>
      </c>
      <c r="O201" s="47"/>
      <c r="P201" s="47"/>
      <c r="Q201" s="47"/>
      <c r="R201" s="47">
        <f>FDIST(9.51,1,118)</f>
        <v>0.002545249315</v>
      </c>
      <c r="S201" s="47">
        <f t="shared" si="34"/>
        <v>3.017909465</v>
      </c>
      <c r="T201" s="47">
        <f t="shared" si="35"/>
        <v>0.8549516401</v>
      </c>
      <c r="U201" s="50"/>
    </row>
    <row r="202">
      <c r="A202" s="41"/>
      <c r="B202" s="42">
        <v>83.0</v>
      </c>
      <c r="C202" s="43"/>
      <c r="D202" s="41"/>
      <c r="E202" s="41"/>
      <c r="F202" s="43"/>
      <c r="G202" s="43"/>
      <c r="H202" s="43">
        <v>1.0</v>
      </c>
      <c r="I202" s="43">
        <v>1.0</v>
      </c>
      <c r="J202" s="44"/>
      <c r="K202" s="45"/>
      <c r="L202" s="45" t="s">
        <v>585</v>
      </c>
      <c r="M202" s="44" t="s">
        <v>586</v>
      </c>
      <c r="N202" s="44" t="s">
        <v>128</v>
      </c>
      <c r="O202" s="47"/>
      <c r="P202" s="47"/>
      <c r="Q202" s="47"/>
      <c r="R202" s="47">
        <f>FDIST(23.06,1,118)</f>
        <v>0.00000465230818</v>
      </c>
      <c r="S202" s="47">
        <f t="shared" si="34"/>
        <v>4.579885383</v>
      </c>
      <c r="T202" s="47">
        <f t="shared" si="35"/>
        <v>0.9956020338</v>
      </c>
      <c r="U202" s="50"/>
    </row>
    <row r="203">
      <c r="A203" s="41"/>
      <c r="B203" s="42">
        <v>83.0</v>
      </c>
      <c r="C203" s="43"/>
      <c r="D203" s="41"/>
      <c r="E203" s="41"/>
      <c r="F203" s="43"/>
      <c r="G203" s="43"/>
      <c r="H203" s="43">
        <v>1.0</v>
      </c>
      <c r="I203" s="43">
        <v>1.0</v>
      </c>
      <c r="J203" s="44"/>
      <c r="K203" s="45"/>
      <c r="L203" s="45" t="s">
        <v>587</v>
      </c>
      <c r="M203" s="44" t="s">
        <v>588</v>
      </c>
      <c r="N203" s="44" t="s">
        <v>128</v>
      </c>
      <c r="O203" s="47"/>
      <c r="P203" s="47"/>
      <c r="Q203" s="47"/>
      <c r="R203" s="47">
        <f>FDIST(15.75,1,118)</f>
        <v>0.0001245775167</v>
      </c>
      <c r="S203" s="47">
        <f t="shared" si="34"/>
        <v>3.836938768</v>
      </c>
      <c r="T203" s="47">
        <f t="shared" si="35"/>
        <v>0.9697367567</v>
      </c>
      <c r="U203" s="50"/>
    </row>
    <row r="204">
      <c r="A204" s="41"/>
      <c r="B204" s="83">
        <v>83.0</v>
      </c>
      <c r="C204" s="75"/>
      <c r="D204" s="76"/>
      <c r="E204" s="76"/>
      <c r="F204" s="75"/>
      <c r="G204" s="75"/>
      <c r="H204" s="75">
        <v>1.0</v>
      </c>
      <c r="I204" s="75">
        <v>1.0</v>
      </c>
      <c r="J204" s="77"/>
      <c r="K204" s="78"/>
      <c r="L204" s="78" t="s">
        <v>589</v>
      </c>
      <c r="M204" s="77" t="s">
        <v>590</v>
      </c>
      <c r="N204" s="77" t="s">
        <v>428</v>
      </c>
      <c r="O204" s="80"/>
      <c r="P204" s="80"/>
      <c r="Q204" s="80"/>
      <c r="R204" s="80">
        <f>FDIST(1.74,1,118)</f>
        <v>0.1896928685</v>
      </c>
      <c r="S204" s="80">
        <f t="shared" si="34"/>
        <v>1.311488226</v>
      </c>
      <c r="T204" s="80">
        <f t="shared" si="35"/>
        <v>0.2583269991</v>
      </c>
      <c r="U204" s="81"/>
    </row>
    <row r="205">
      <c r="A205" s="7"/>
      <c r="B205" s="8"/>
      <c r="C205" s="8"/>
      <c r="D205" s="7"/>
      <c r="E205" s="7"/>
      <c r="F205" s="8"/>
      <c r="G205" s="8"/>
      <c r="H205" s="8"/>
      <c r="I205" s="8"/>
      <c r="J205" s="84"/>
      <c r="K205" s="16"/>
      <c r="L205" s="13"/>
      <c r="M205" s="15"/>
      <c r="N205" s="15"/>
      <c r="O205" s="15"/>
      <c r="P205" s="15"/>
      <c r="Q205" s="15"/>
      <c r="R205" s="15"/>
      <c r="S205" s="15"/>
      <c r="T205" s="15"/>
      <c r="U205" s="16"/>
    </row>
    <row r="206">
      <c r="A206" s="41">
        <v>1.0</v>
      </c>
      <c r="B206" s="86">
        <v>84.0</v>
      </c>
      <c r="C206" s="87" t="s">
        <v>591</v>
      </c>
      <c r="D206" s="88" t="s">
        <v>592</v>
      </c>
      <c r="E206" s="88" t="s">
        <v>32</v>
      </c>
      <c r="F206" s="89" t="s">
        <v>593</v>
      </c>
      <c r="G206" s="89">
        <v>2007.0</v>
      </c>
      <c r="H206" s="89">
        <v>1.0</v>
      </c>
      <c r="I206" s="89">
        <v>1.0</v>
      </c>
      <c r="J206" s="90">
        <v>4.0</v>
      </c>
      <c r="K206" s="91" t="s">
        <v>594</v>
      </c>
      <c r="L206" s="91" t="s">
        <v>595</v>
      </c>
      <c r="M206" s="90" t="s">
        <v>596</v>
      </c>
      <c r="N206" s="90" t="s">
        <v>128</v>
      </c>
      <c r="O206" s="92"/>
      <c r="P206" s="92"/>
      <c r="Q206" s="92"/>
      <c r="R206" s="92">
        <f>FDIST(11.49,6,400)</f>
        <v>0</v>
      </c>
      <c r="S206" s="92">
        <f t="shared" ref="S206:S210" si="36">NORMINV(1-R206/2,0,1)</f>
        <v>6.854122662</v>
      </c>
      <c r="T206" s="92">
        <f t="shared" ref="T206:T210" si="37">NORMDIST(S206,1.96,1,TRUE)</f>
        <v>0.9999995063</v>
      </c>
      <c r="U206" s="93"/>
    </row>
    <row r="207">
      <c r="A207" s="41"/>
      <c r="B207" s="42">
        <v>84.0</v>
      </c>
      <c r="C207" s="43"/>
      <c r="D207" s="41"/>
      <c r="E207" s="41"/>
      <c r="F207" s="43"/>
      <c r="G207" s="43"/>
      <c r="H207" s="43">
        <v>1.0</v>
      </c>
      <c r="I207" s="43">
        <v>1.0</v>
      </c>
      <c r="J207" s="44">
        <v>4.0</v>
      </c>
      <c r="K207" s="45"/>
      <c r="L207" s="45" t="s">
        <v>597</v>
      </c>
      <c r="M207" s="44" t="s">
        <v>598</v>
      </c>
      <c r="N207" s="44" t="s">
        <v>128</v>
      </c>
      <c r="O207" s="47"/>
      <c r="P207" s="47"/>
      <c r="Q207" s="47"/>
      <c r="R207" s="47">
        <f>FDIST(10.39,3,403)</f>
        <v>0.000001340320238</v>
      </c>
      <c r="S207" s="47">
        <f t="shared" si="36"/>
        <v>4.833679934</v>
      </c>
      <c r="T207" s="47">
        <f t="shared" si="37"/>
        <v>0.9979714005</v>
      </c>
      <c r="U207" s="50"/>
    </row>
    <row r="208">
      <c r="A208" s="41"/>
      <c r="B208" s="42">
        <v>84.0</v>
      </c>
      <c r="C208" s="43"/>
      <c r="D208" s="41"/>
      <c r="E208" s="41"/>
      <c r="F208" s="43"/>
      <c r="G208" s="43"/>
      <c r="H208" s="43">
        <v>1.0</v>
      </c>
      <c r="I208" s="43">
        <v>1.0</v>
      </c>
      <c r="J208" s="44">
        <v>4.0</v>
      </c>
      <c r="K208" s="45"/>
      <c r="L208" s="45" t="s">
        <v>599</v>
      </c>
      <c r="M208" s="44" t="s">
        <v>600</v>
      </c>
      <c r="N208" s="44" t="s">
        <v>128</v>
      </c>
      <c r="O208" s="47"/>
      <c r="P208" s="47"/>
      <c r="Q208" s="47"/>
      <c r="R208" s="47">
        <f>fdist(8,4,403)</f>
        <v>0.000003255892323</v>
      </c>
      <c r="S208" s="47">
        <f t="shared" si="36"/>
        <v>4.653979477</v>
      </c>
      <c r="T208" s="47">
        <f t="shared" si="37"/>
        <v>0.9964697744</v>
      </c>
      <c r="U208" s="50"/>
    </row>
    <row r="209">
      <c r="A209" s="41"/>
      <c r="B209" s="42">
        <v>84.0</v>
      </c>
      <c r="C209" s="43"/>
      <c r="D209" s="41"/>
      <c r="E209" s="41"/>
      <c r="F209" s="43"/>
      <c r="G209" s="43"/>
      <c r="H209" s="43">
        <v>1.0</v>
      </c>
      <c r="I209" s="43">
        <v>1.0</v>
      </c>
      <c r="J209" s="44">
        <v>4.0</v>
      </c>
      <c r="K209" s="45"/>
      <c r="L209" s="45" t="s">
        <v>601</v>
      </c>
      <c r="M209" s="44" t="s">
        <v>602</v>
      </c>
      <c r="N209" s="44" t="s">
        <v>603</v>
      </c>
      <c r="O209" s="47"/>
      <c r="P209" s="52" t="s">
        <v>604</v>
      </c>
      <c r="Q209" s="47"/>
      <c r="R209" s="47">
        <f>FDIST(10.11,1,375)</f>
        <v>0.001597301602</v>
      </c>
      <c r="S209" s="47">
        <f t="shared" si="36"/>
        <v>3.156399062</v>
      </c>
      <c r="T209" s="47">
        <f t="shared" si="37"/>
        <v>0.8842295663</v>
      </c>
      <c r="U209" s="50"/>
    </row>
    <row r="210">
      <c r="A210" s="41"/>
      <c r="B210" s="83">
        <v>84.0</v>
      </c>
      <c r="C210" s="75"/>
      <c r="D210" s="76"/>
      <c r="E210" s="76"/>
      <c r="F210" s="75"/>
      <c r="G210" s="75"/>
      <c r="H210" s="75">
        <v>1.0</v>
      </c>
      <c r="I210" s="75">
        <v>1.0</v>
      </c>
      <c r="J210" s="77">
        <v>4.0</v>
      </c>
      <c r="K210" s="78"/>
      <c r="L210" s="78" t="s">
        <v>605</v>
      </c>
      <c r="M210" s="77" t="s">
        <v>606</v>
      </c>
      <c r="N210" s="77" t="s">
        <v>607</v>
      </c>
      <c r="O210" s="80"/>
      <c r="P210" s="75" t="s">
        <v>608</v>
      </c>
      <c r="Q210" s="80"/>
      <c r="R210" s="80">
        <f>FDIST(2.9,1,407)</f>
        <v>0.08934300913</v>
      </c>
      <c r="S210" s="80">
        <f t="shared" si="36"/>
        <v>1.698873563</v>
      </c>
      <c r="T210" s="80">
        <f t="shared" si="37"/>
        <v>0.3969975024</v>
      </c>
      <c r="U210" s="81"/>
    </row>
    <row r="211">
      <c r="A211" s="7"/>
      <c r="B211" s="8">
        <v>85.0</v>
      </c>
      <c r="C211" s="14" t="s">
        <v>609</v>
      </c>
      <c r="D211" s="7" t="s">
        <v>43</v>
      </c>
      <c r="E211" s="11"/>
      <c r="F211" s="8" t="s">
        <v>610</v>
      </c>
      <c r="G211" s="8">
        <v>2006.0</v>
      </c>
      <c r="H211" s="8"/>
      <c r="I211" s="8"/>
      <c r="J211" s="84"/>
      <c r="K211" s="16"/>
      <c r="L211" s="13"/>
      <c r="O211" s="15"/>
      <c r="P211" s="15"/>
      <c r="Q211" s="15"/>
      <c r="R211" s="15"/>
      <c r="S211" s="15"/>
      <c r="T211" s="15"/>
      <c r="U211" s="16"/>
    </row>
    <row r="212">
      <c r="A212" s="7"/>
      <c r="B212" s="8">
        <v>86.0</v>
      </c>
      <c r="C212" s="14" t="s">
        <v>611</v>
      </c>
      <c r="D212" s="7" t="s">
        <v>612</v>
      </c>
      <c r="E212" s="11"/>
      <c r="F212" s="8" t="s">
        <v>613</v>
      </c>
      <c r="G212" s="8">
        <v>2000.0</v>
      </c>
      <c r="H212" s="8"/>
      <c r="I212" s="8"/>
      <c r="J212" s="84"/>
      <c r="K212" s="16"/>
      <c r="L212" s="13"/>
      <c r="M212" s="15"/>
      <c r="N212" s="15"/>
      <c r="O212" s="15"/>
      <c r="P212" s="15"/>
      <c r="Q212" s="15"/>
      <c r="R212" s="15"/>
      <c r="S212" s="15"/>
      <c r="T212" s="15"/>
      <c r="U212" s="16" t="s">
        <v>614</v>
      </c>
    </row>
    <row r="213">
      <c r="A213" s="41">
        <v>1.0</v>
      </c>
      <c r="B213" s="86">
        <v>87.0</v>
      </c>
      <c r="C213" s="87" t="s">
        <v>615</v>
      </c>
      <c r="D213" s="88" t="s">
        <v>48</v>
      </c>
      <c r="E213" s="88" t="s">
        <v>32</v>
      </c>
      <c r="F213" s="89" t="s">
        <v>616</v>
      </c>
      <c r="G213" s="89">
        <v>2005.0</v>
      </c>
      <c r="H213" s="89"/>
      <c r="I213" s="89">
        <v>1.0</v>
      </c>
      <c r="J213" s="90">
        <v>1.0</v>
      </c>
      <c r="K213" s="91" t="s">
        <v>617</v>
      </c>
      <c r="L213" s="91" t="s">
        <v>618</v>
      </c>
      <c r="M213" s="90" t="s">
        <v>619</v>
      </c>
      <c r="N213" s="90" t="s">
        <v>119</v>
      </c>
      <c r="O213" s="92"/>
      <c r="P213" s="90" t="s">
        <v>620</v>
      </c>
      <c r="Q213" s="92"/>
      <c r="R213" s="92">
        <f>FDIST(119.48,1,90)</f>
        <v>0</v>
      </c>
      <c r="S213" s="92" t="str">
        <f t="shared" ref="S213:S215" si="38">NORMINV(1-R213/2,0,1)</f>
        <v>#NUM!</v>
      </c>
      <c r="T213" s="92" t="str">
        <f t="shared" ref="T213:T215" si="39">NORMDIST(S213,1.96,1,TRUE)</f>
        <v>#NUM!</v>
      </c>
      <c r="U213" s="93"/>
    </row>
    <row r="214">
      <c r="A214" s="41"/>
      <c r="B214" s="42">
        <v>87.0</v>
      </c>
      <c r="C214" s="43"/>
      <c r="D214" s="41"/>
      <c r="E214" s="41"/>
      <c r="F214" s="43"/>
      <c r="G214" s="43"/>
      <c r="H214" s="43"/>
      <c r="I214" s="43">
        <v>1.0</v>
      </c>
      <c r="J214" s="44">
        <v>2.0</v>
      </c>
      <c r="K214" s="45" t="s">
        <v>621</v>
      </c>
      <c r="L214" s="45" t="s">
        <v>622</v>
      </c>
      <c r="M214" s="44" t="s">
        <v>623</v>
      </c>
      <c r="N214" s="44" t="s">
        <v>119</v>
      </c>
      <c r="O214" s="47"/>
      <c r="P214" s="44" t="s">
        <v>624</v>
      </c>
      <c r="Q214" s="47"/>
      <c r="R214" s="47">
        <f>FDIST(23.19,1,90)</f>
        <v>0.000005897711197</v>
      </c>
      <c r="S214" s="47">
        <f t="shared" si="38"/>
        <v>4.530023554</v>
      </c>
      <c r="T214" s="47">
        <f t="shared" si="39"/>
        <v>0.99491542</v>
      </c>
      <c r="U214" s="50"/>
    </row>
    <row r="215">
      <c r="A215" s="68"/>
      <c r="B215" s="138">
        <v>87.0</v>
      </c>
      <c r="C215" s="139"/>
      <c r="D215" s="140"/>
      <c r="E215" s="140"/>
      <c r="F215" s="139"/>
      <c r="G215" s="139"/>
      <c r="H215" s="139">
        <v>1.0</v>
      </c>
      <c r="I215" s="139">
        <v>1.0</v>
      </c>
      <c r="J215" s="141">
        <v>3.0</v>
      </c>
      <c r="K215" s="142" t="s">
        <v>625</v>
      </c>
      <c r="L215" s="142" t="s">
        <v>626</v>
      </c>
      <c r="M215" s="141" t="s">
        <v>627</v>
      </c>
      <c r="N215" s="141" t="s">
        <v>119</v>
      </c>
      <c r="O215" s="143"/>
      <c r="P215" s="141" t="s">
        <v>628</v>
      </c>
      <c r="Q215" s="143"/>
      <c r="R215" s="143">
        <f>FDIST(382.52,1,90)</f>
        <v>0</v>
      </c>
      <c r="S215" s="143" t="str">
        <f t="shared" si="38"/>
        <v>#NUM!</v>
      </c>
      <c r="T215" s="143" t="str">
        <f t="shared" si="39"/>
        <v>#NUM!</v>
      </c>
      <c r="U215" s="144"/>
    </row>
    <row r="216">
      <c r="A216" s="7"/>
      <c r="B216" s="8"/>
      <c r="C216" s="8"/>
      <c r="D216" s="7"/>
      <c r="E216" s="7"/>
      <c r="F216" s="8"/>
      <c r="G216" s="8"/>
      <c r="H216" s="8"/>
      <c r="I216" s="8"/>
      <c r="J216" s="84"/>
      <c r="K216" s="16"/>
      <c r="L216" s="13"/>
      <c r="M216" s="15"/>
      <c r="N216" s="15"/>
      <c r="O216" s="15"/>
      <c r="P216" s="15"/>
      <c r="Q216" s="15"/>
      <c r="R216" s="15"/>
      <c r="S216" s="15"/>
      <c r="T216" s="15"/>
      <c r="U216" s="16"/>
    </row>
    <row r="217">
      <c r="A217" s="7"/>
      <c r="B217" s="8">
        <v>88.0</v>
      </c>
      <c r="C217" s="14" t="s">
        <v>629</v>
      </c>
      <c r="D217" s="115" t="s">
        <v>630</v>
      </c>
      <c r="F217" s="116" t="s">
        <v>631</v>
      </c>
      <c r="G217" s="116">
        <v>2016.0</v>
      </c>
      <c r="H217" s="8"/>
      <c r="I217" s="8"/>
      <c r="J217" s="84"/>
      <c r="K217" s="16"/>
      <c r="L217" s="13"/>
      <c r="M217" s="15"/>
      <c r="N217" s="15"/>
      <c r="O217" s="15"/>
      <c r="P217" s="15"/>
      <c r="Q217" s="15"/>
      <c r="R217" s="15"/>
      <c r="S217" s="15"/>
      <c r="T217" s="15"/>
      <c r="U217" s="16"/>
    </row>
    <row r="218">
      <c r="A218" s="7"/>
      <c r="B218" s="8">
        <v>89.0</v>
      </c>
      <c r="C218" s="14" t="s">
        <v>632</v>
      </c>
      <c r="D218" s="7" t="s">
        <v>22</v>
      </c>
      <c r="E218" s="11"/>
      <c r="F218" s="8" t="s">
        <v>633</v>
      </c>
      <c r="G218" s="8">
        <v>2001.0</v>
      </c>
      <c r="H218" s="8"/>
      <c r="I218" s="8"/>
      <c r="J218" s="84"/>
      <c r="K218" s="16"/>
      <c r="L218" s="13"/>
      <c r="M218" s="15"/>
      <c r="N218" s="15"/>
      <c r="O218" s="15"/>
      <c r="P218" s="15"/>
      <c r="Q218" s="15"/>
      <c r="R218" s="15"/>
      <c r="S218" s="15"/>
      <c r="T218" s="15"/>
      <c r="U218" s="16"/>
    </row>
    <row r="219">
      <c r="A219" s="7"/>
      <c r="B219" s="8">
        <v>90.0</v>
      </c>
      <c r="C219" s="14" t="s">
        <v>634</v>
      </c>
      <c r="D219" s="7" t="s">
        <v>635</v>
      </c>
      <c r="E219" s="11"/>
      <c r="F219" s="8" t="s">
        <v>636</v>
      </c>
      <c r="G219" s="8">
        <v>2002.0</v>
      </c>
      <c r="H219" s="8"/>
      <c r="I219" s="8"/>
      <c r="J219" s="84"/>
      <c r="K219" s="16"/>
      <c r="L219" s="13"/>
      <c r="M219" s="15"/>
      <c r="N219" s="15"/>
      <c r="O219" s="15"/>
      <c r="P219" s="15"/>
      <c r="Q219" s="15"/>
      <c r="R219" s="15"/>
      <c r="S219" s="15"/>
      <c r="T219" s="15"/>
      <c r="U219" s="16"/>
    </row>
    <row r="220">
      <c r="A220" s="7"/>
      <c r="B220" s="8">
        <v>91.0</v>
      </c>
      <c r="C220" s="14" t="s">
        <v>637</v>
      </c>
      <c r="D220" s="7" t="s">
        <v>638</v>
      </c>
      <c r="E220" s="11"/>
      <c r="F220" s="12"/>
      <c r="G220" s="12"/>
      <c r="H220" s="8"/>
      <c r="I220" s="8"/>
      <c r="J220" s="84"/>
      <c r="K220" s="16"/>
      <c r="L220" s="13"/>
      <c r="M220" s="15"/>
      <c r="N220" s="15"/>
      <c r="O220" s="15"/>
      <c r="P220" s="15"/>
      <c r="Q220" s="15"/>
      <c r="R220" s="15"/>
      <c r="S220" s="15"/>
      <c r="T220" s="15"/>
      <c r="U220" s="16" t="s">
        <v>638</v>
      </c>
    </row>
    <row r="221">
      <c r="A221" s="22"/>
      <c r="B221" s="24">
        <v>92.0</v>
      </c>
      <c r="C221" s="31" t="s">
        <v>639</v>
      </c>
      <c r="D221" s="33" t="s">
        <v>48</v>
      </c>
      <c r="E221" s="33" t="s">
        <v>32</v>
      </c>
      <c r="F221" s="35" t="s">
        <v>640</v>
      </c>
      <c r="G221" s="35">
        <v>2018.0</v>
      </c>
      <c r="H221" s="35"/>
      <c r="I221" s="35">
        <v>1.0</v>
      </c>
      <c r="J221" s="36">
        <v>1.0</v>
      </c>
      <c r="K221" s="37" t="s">
        <v>641</v>
      </c>
      <c r="L221" s="37"/>
      <c r="M221" s="36"/>
      <c r="N221" s="39"/>
      <c r="O221" s="39"/>
      <c r="P221" s="39"/>
      <c r="Q221" s="39"/>
      <c r="R221" s="39"/>
      <c r="S221" s="39"/>
      <c r="T221" s="39"/>
      <c r="U221" s="40"/>
    </row>
    <row r="222">
      <c r="A222" s="22"/>
      <c r="B222" s="74">
        <v>92.0</v>
      </c>
      <c r="C222" s="62"/>
      <c r="D222" s="22"/>
      <c r="E222" s="22"/>
      <c r="F222" s="62"/>
      <c r="G222" s="62"/>
      <c r="H222" s="62"/>
      <c r="I222" s="62">
        <v>2.0</v>
      </c>
      <c r="J222" s="63" t="s">
        <v>642</v>
      </c>
      <c r="K222" s="64" t="s">
        <v>643</v>
      </c>
      <c r="L222" s="65"/>
      <c r="M222" s="66"/>
      <c r="N222" s="66"/>
      <c r="O222" s="66"/>
      <c r="P222" s="66"/>
      <c r="Q222" s="66"/>
      <c r="R222" s="66"/>
      <c r="S222" s="66"/>
      <c r="T222" s="66"/>
      <c r="U222" s="67"/>
    </row>
    <row r="223">
      <c r="A223" s="22"/>
      <c r="B223" s="74">
        <v>92.0</v>
      </c>
      <c r="C223" s="62"/>
      <c r="D223" s="22"/>
      <c r="E223" s="22"/>
      <c r="F223" s="62"/>
      <c r="G223" s="62"/>
      <c r="H223" s="62"/>
      <c r="I223" s="62">
        <v>2.0</v>
      </c>
      <c r="J223" s="63" t="s">
        <v>644</v>
      </c>
      <c r="K223" s="64" t="s">
        <v>645</v>
      </c>
      <c r="L223" s="65"/>
      <c r="M223" s="66"/>
      <c r="N223" s="66"/>
      <c r="O223" s="66"/>
      <c r="P223" s="66"/>
      <c r="Q223" s="66"/>
      <c r="R223" s="66"/>
      <c r="S223" s="66"/>
      <c r="T223" s="66"/>
      <c r="U223" s="67"/>
    </row>
    <row r="224">
      <c r="A224" s="41"/>
      <c r="B224" s="42">
        <v>92.0</v>
      </c>
      <c r="C224" s="43"/>
      <c r="D224" s="41"/>
      <c r="E224" s="41"/>
      <c r="F224" s="43"/>
      <c r="G224" s="43"/>
      <c r="H224" s="43"/>
      <c r="I224" s="43">
        <v>2.0</v>
      </c>
      <c r="J224" s="44" t="s">
        <v>53</v>
      </c>
      <c r="K224" s="45" t="s">
        <v>646</v>
      </c>
      <c r="L224" s="45" t="s">
        <v>647</v>
      </c>
      <c r="M224" s="47"/>
      <c r="N224" s="47"/>
      <c r="O224" s="47"/>
      <c r="P224" s="47"/>
      <c r="Q224" s="44" t="s">
        <v>648</v>
      </c>
      <c r="R224" s="47"/>
      <c r="S224" s="47"/>
      <c r="T224" s="47"/>
      <c r="U224" s="50"/>
    </row>
    <row r="225">
      <c r="A225" s="41"/>
      <c r="B225" s="42">
        <v>92.0</v>
      </c>
      <c r="C225" s="43"/>
      <c r="D225" s="41"/>
      <c r="E225" s="41"/>
      <c r="F225" s="43"/>
      <c r="G225" s="43"/>
      <c r="H225" s="43"/>
      <c r="I225" s="43">
        <v>2.0</v>
      </c>
      <c r="J225" s="44" t="s">
        <v>65</v>
      </c>
      <c r="K225" s="45" t="s">
        <v>649</v>
      </c>
      <c r="L225" s="45" t="s">
        <v>650</v>
      </c>
      <c r="M225" s="47"/>
      <c r="N225" s="47"/>
      <c r="O225" s="47"/>
      <c r="P225" s="47"/>
      <c r="Q225" s="44" t="s">
        <v>651</v>
      </c>
      <c r="R225" s="47"/>
      <c r="S225" s="47"/>
      <c r="T225" s="47"/>
      <c r="U225" s="50"/>
    </row>
    <row r="226">
      <c r="A226" s="22"/>
      <c r="B226" s="74">
        <v>92.0</v>
      </c>
      <c r="C226" s="62"/>
      <c r="D226" s="22"/>
      <c r="E226" s="22"/>
      <c r="F226" s="62"/>
      <c r="G226" s="62"/>
      <c r="H226" s="62"/>
      <c r="I226" s="62">
        <v>2.0</v>
      </c>
      <c r="J226" s="63">
        <v>4.0</v>
      </c>
      <c r="K226" s="64" t="s">
        <v>652</v>
      </c>
      <c r="L226" s="65"/>
      <c r="M226" s="66"/>
      <c r="N226" s="66"/>
      <c r="O226" s="66"/>
      <c r="P226" s="66"/>
      <c r="Q226" s="66"/>
      <c r="R226" s="66"/>
      <c r="S226" s="66"/>
      <c r="T226" s="66"/>
      <c r="U226" s="67"/>
    </row>
    <row r="227">
      <c r="A227" s="22"/>
      <c r="B227" s="74">
        <v>92.0</v>
      </c>
      <c r="C227" s="62"/>
      <c r="D227" s="22"/>
      <c r="E227" s="22"/>
      <c r="F227" s="62"/>
      <c r="G227" s="62"/>
      <c r="H227" s="62"/>
      <c r="I227" s="62">
        <v>2.0</v>
      </c>
      <c r="J227" s="63">
        <v>5.0</v>
      </c>
      <c r="K227" s="64" t="s">
        <v>653</v>
      </c>
      <c r="L227" s="65"/>
      <c r="M227" s="66"/>
      <c r="N227" s="66"/>
      <c r="O227" s="66"/>
      <c r="P227" s="66"/>
      <c r="Q227" s="66"/>
      <c r="R227" s="66"/>
      <c r="S227" s="66"/>
      <c r="T227" s="66"/>
      <c r="U227" s="67"/>
    </row>
    <row r="228">
      <c r="A228" s="41"/>
      <c r="B228" s="42">
        <v>92.0</v>
      </c>
      <c r="C228" s="43"/>
      <c r="D228" s="41"/>
      <c r="E228" s="41"/>
      <c r="F228" s="43"/>
      <c r="G228" s="43"/>
      <c r="H228" s="43"/>
      <c r="I228" s="43">
        <v>2.0</v>
      </c>
      <c r="J228" s="44" t="s">
        <v>654</v>
      </c>
      <c r="K228" s="45" t="s">
        <v>655</v>
      </c>
      <c r="L228" s="45" t="s">
        <v>656</v>
      </c>
      <c r="M228" s="47"/>
      <c r="N228" s="47"/>
      <c r="O228" s="47"/>
      <c r="P228" s="47"/>
      <c r="Q228" s="44" t="s">
        <v>657</v>
      </c>
      <c r="R228" s="47"/>
      <c r="S228" s="47"/>
      <c r="T228" s="47"/>
      <c r="U228" s="50"/>
    </row>
    <row r="229">
      <c r="A229" s="41"/>
      <c r="B229" s="42">
        <v>92.0</v>
      </c>
      <c r="C229" s="43"/>
      <c r="D229" s="41"/>
      <c r="E229" s="41"/>
      <c r="F229" s="43"/>
      <c r="G229" s="43"/>
      <c r="H229" s="43"/>
      <c r="I229" s="43">
        <v>2.0</v>
      </c>
      <c r="J229" s="44" t="s">
        <v>658</v>
      </c>
      <c r="K229" s="45" t="s">
        <v>659</v>
      </c>
      <c r="L229" s="45" t="s">
        <v>660</v>
      </c>
      <c r="M229" s="47"/>
      <c r="N229" s="47"/>
      <c r="O229" s="47"/>
      <c r="P229" s="47"/>
      <c r="Q229" s="44" t="s">
        <v>661</v>
      </c>
      <c r="R229" s="47"/>
      <c r="S229" s="47"/>
      <c r="T229" s="47"/>
      <c r="U229" s="50"/>
    </row>
    <row r="230">
      <c r="A230" s="41"/>
      <c r="B230" s="42">
        <v>92.0</v>
      </c>
      <c r="C230" s="43"/>
      <c r="D230" s="41"/>
      <c r="E230" s="41"/>
      <c r="F230" s="43"/>
      <c r="G230" s="43"/>
      <c r="H230" s="43"/>
      <c r="I230" s="43">
        <v>2.0</v>
      </c>
      <c r="J230" s="44" t="s">
        <v>475</v>
      </c>
      <c r="K230" s="45" t="s">
        <v>662</v>
      </c>
      <c r="L230" s="45" t="s">
        <v>663</v>
      </c>
      <c r="M230" s="47"/>
      <c r="N230" s="47"/>
      <c r="O230" s="47"/>
      <c r="P230" s="47"/>
      <c r="Q230" s="44" t="s">
        <v>664</v>
      </c>
      <c r="R230" s="47"/>
      <c r="S230" s="47"/>
      <c r="T230" s="47"/>
      <c r="U230" s="50"/>
    </row>
    <row r="231">
      <c r="A231" s="41"/>
      <c r="B231" s="42">
        <v>92.0</v>
      </c>
      <c r="C231" s="43"/>
      <c r="D231" s="41"/>
      <c r="E231" s="41"/>
      <c r="F231" s="43"/>
      <c r="G231" s="43"/>
      <c r="H231" s="43"/>
      <c r="I231" s="43">
        <v>2.0</v>
      </c>
      <c r="J231" s="44" t="s">
        <v>480</v>
      </c>
      <c r="K231" s="45" t="s">
        <v>665</v>
      </c>
      <c r="L231" s="45" t="s">
        <v>666</v>
      </c>
      <c r="M231" s="47"/>
      <c r="N231" s="47"/>
      <c r="O231" s="47"/>
      <c r="P231" s="47"/>
      <c r="Q231" s="44" t="s">
        <v>667</v>
      </c>
      <c r="R231" s="47"/>
      <c r="S231" s="47"/>
      <c r="T231" s="47"/>
      <c r="U231" s="50"/>
    </row>
    <row r="232">
      <c r="A232" s="41"/>
      <c r="B232" s="42">
        <v>92.0</v>
      </c>
      <c r="C232" s="43"/>
      <c r="D232" s="41"/>
      <c r="E232" s="41"/>
      <c r="F232" s="43"/>
      <c r="G232" s="43"/>
      <c r="H232" s="43"/>
      <c r="I232" s="43">
        <v>2.0</v>
      </c>
      <c r="J232" s="44">
        <v>1.0</v>
      </c>
      <c r="K232" s="45" t="s">
        <v>668</v>
      </c>
      <c r="L232" s="59"/>
      <c r="M232" s="47"/>
      <c r="N232" s="47"/>
      <c r="O232" s="47"/>
      <c r="P232" s="47"/>
      <c r="Q232" s="47"/>
      <c r="R232" s="47"/>
      <c r="S232" s="47"/>
      <c r="T232" s="47"/>
      <c r="U232" s="50"/>
    </row>
    <row r="233">
      <c r="A233" s="41"/>
      <c r="B233" s="42">
        <v>92.0</v>
      </c>
      <c r="C233" s="43"/>
      <c r="D233" s="41"/>
      <c r="E233" s="41"/>
      <c r="F233" s="43"/>
      <c r="G233" s="43"/>
      <c r="H233" s="43"/>
      <c r="I233" s="43">
        <v>3.0</v>
      </c>
      <c r="J233" s="44" t="s">
        <v>53</v>
      </c>
      <c r="K233" s="45" t="s">
        <v>646</v>
      </c>
      <c r="L233" s="45" t="s">
        <v>669</v>
      </c>
      <c r="M233" s="47"/>
      <c r="N233" s="47"/>
      <c r="O233" s="47"/>
      <c r="P233" s="47"/>
      <c r="Q233" s="44" t="s">
        <v>670</v>
      </c>
      <c r="R233" s="47"/>
      <c r="S233" s="47"/>
      <c r="T233" s="47"/>
      <c r="U233" s="50"/>
    </row>
    <row r="234">
      <c r="A234" s="41"/>
      <c r="B234" s="42">
        <v>92.0</v>
      </c>
      <c r="C234" s="43"/>
      <c r="D234" s="41"/>
      <c r="E234" s="41"/>
      <c r="F234" s="43"/>
      <c r="G234" s="43"/>
      <c r="H234" s="43"/>
      <c r="I234" s="43">
        <v>3.0</v>
      </c>
      <c r="J234" s="44" t="s">
        <v>65</v>
      </c>
      <c r="K234" s="45" t="s">
        <v>649</v>
      </c>
      <c r="L234" s="45" t="s">
        <v>671</v>
      </c>
      <c r="M234" s="47"/>
      <c r="N234" s="47"/>
      <c r="O234" s="47"/>
      <c r="P234" s="47"/>
      <c r="Q234" s="44" t="s">
        <v>672</v>
      </c>
      <c r="R234" s="47"/>
      <c r="S234" s="47"/>
      <c r="T234" s="47"/>
      <c r="U234" s="50"/>
    </row>
    <row r="235">
      <c r="A235" s="41"/>
      <c r="B235" s="42">
        <v>92.0</v>
      </c>
      <c r="C235" s="43"/>
      <c r="D235" s="41"/>
      <c r="E235" s="41"/>
      <c r="F235" s="43"/>
      <c r="G235" s="43"/>
      <c r="H235" s="43"/>
      <c r="I235" s="43">
        <v>3.0</v>
      </c>
      <c r="J235" s="44" t="s">
        <v>654</v>
      </c>
      <c r="K235" s="45" t="s">
        <v>673</v>
      </c>
      <c r="L235" s="45" t="s">
        <v>674</v>
      </c>
      <c r="M235" s="47"/>
      <c r="N235" s="47"/>
      <c r="O235" s="47"/>
      <c r="P235" s="47"/>
      <c r="Q235" s="44" t="s">
        <v>675</v>
      </c>
      <c r="R235" s="47"/>
      <c r="S235" s="47"/>
      <c r="T235" s="47"/>
      <c r="U235" s="50"/>
    </row>
    <row r="236">
      <c r="A236" s="41"/>
      <c r="B236" s="42">
        <v>92.0</v>
      </c>
      <c r="C236" s="43"/>
      <c r="D236" s="41"/>
      <c r="E236" s="41"/>
      <c r="F236" s="43"/>
      <c r="G236" s="43"/>
      <c r="H236" s="43"/>
      <c r="I236" s="43">
        <v>3.0</v>
      </c>
      <c r="J236" s="44" t="s">
        <v>658</v>
      </c>
      <c r="K236" s="45" t="s">
        <v>676</v>
      </c>
      <c r="L236" s="45" t="s">
        <v>677</v>
      </c>
      <c r="M236" s="47"/>
      <c r="N236" s="47"/>
      <c r="O236" s="47"/>
      <c r="P236" s="47"/>
      <c r="Q236" s="44" t="s">
        <v>678</v>
      </c>
      <c r="R236" s="47"/>
      <c r="S236" s="47"/>
      <c r="T236" s="47"/>
      <c r="U236" s="50"/>
    </row>
    <row r="237">
      <c r="A237" s="41"/>
      <c r="B237" s="42">
        <v>92.0</v>
      </c>
      <c r="C237" s="43"/>
      <c r="D237" s="41"/>
      <c r="E237" s="41"/>
      <c r="F237" s="43"/>
      <c r="G237" s="43"/>
      <c r="H237" s="43"/>
      <c r="I237" s="43">
        <v>3.0</v>
      </c>
      <c r="J237" s="44" t="s">
        <v>475</v>
      </c>
      <c r="K237" s="45" t="s">
        <v>679</v>
      </c>
      <c r="L237" s="45" t="s">
        <v>680</v>
      </c>
      <c r="M237" s="47"/>
      <c r="N237" s="47"/>
      <c r="O237" s="47"/>
      <c r="P237" s="47"/>
      <c r="Q237" s="44" t="s">
        <v>681</v>
      </c>
      <c r="R237" s="47"/>
      <c r="S237" s="47"/>
      <c r="T237" s="47"/>
      <c r="U237" s="50"/>
    </row>
    <row r="238">
      <c r="A238" s="41"/>
      <c r="B238" s="83">
        <v>92.0</v>
      </c>
      <c r="C238" s="75"/>
      <c r="D238" s="76"/>
      <c r="E238" s="76"/>
      <c r="F238" s="75"/>
      <c r="G238" s="75"/>
      <c r="H238" s="75"/>
      <c r="I238" s="75">
        <v>3.0</v>
      </c>
      <c r="J238" s="77" t="s">
        <v>480</v>
      </c>
      <c r="K238" s="78" t="s">
        <v>682</v>
      </c>
      <c r="L238" s="78" t="s">
        <v>683</v>
      </c>
      <c r="M238" s="80"/>
      <c r="N238" s="80"/>
      <c r="O238" s="80"/>
      <c r="P238" s="80"/>
      <c r="Q238" s="77" t="s">
        <v>684</v>
      </c>
      <c r="R238" s="80"/>
      <c r="S238" s="80"/>
      <c r="T238" s="80"/>
      <c r="U238" s="81"/>
    </row>
    <row r="239">
      <c r="A239" s="7"/>
      <c r="B239" s="8"/>
      <c r="C239" s="8"/>
      <c r="D239" s="7"/>
      <c r="E239" s="7"/>
      <c r="F239" s="8"/>
      <c r="G239" s="8"/>
      <c r="H239" s="8"/>
      <c r="I239" s="8"/>
      <c r="J239" s="84"/>
      <c r="K239" s="16"/>
      <c r="L239" s="16"/>
      <c r="M239" s="15"/>
      <c r="N239" s="15"/>
      <c r="O239" s="15"/>
      <c r="P239" s="15"/>
      <c r="Q239" s="15"/>
      <c r="R239" s="15"/>
      <c r="S239" s="15"/>
      <c r="T239" s="15"/>
      <c r="U239" s="16"/>
    </row>
    <row r="240">
      <c r="A240" s="48"/>
      <c r="B240" s="145">
        <v>93.0</v>
      </c>
      <c r="C240" s="146" t="s">
        <v>685</v>
      </c>
      <c r="D240" s="147" t="s">
        <v>48</v>
      </c>
      <c r="E240" s="147" t="s">
        <v>32</v>
      </c>
      <c r="F240" s="148" t="s">
        <v>686</v>
      </c>
      <c r="G240" s="148">
        <v>2016.0</v>
      </c>
      <c r="H240" s="148"/>
      <c r="I240" s="148">
        <v>1.0</v>
      </c>
      <c r="J240" s="149">
        <v>1.0</v>
      </c>
      <c r="K240" s="150" t="s">
        <v>687</v>
      </c>
      <c r="L240" s="150" t="s">
        <v>688</v>
      </c>
      <c r="M240" s="151"/>
      <c r="N240" s="151"/>
      <c r="O240" s="151"/>
      <c r="P240" s="151"/>
      <c r="Q240" s="151"/>
      <c r="R240" s="151"/>
      <c r="S240" s="151"/>
      <c r="T240" s="151"/>
      <c r="U240" s="152" t="s">
        <v>689</v>
      </c>
    </row>
    <row r="241">
      <c r="A241" s="48"/>
      <c r="B241" s="97">
        <v>93.0</v>
      </c>
      <c r="C241" s="49"/>
      <c r="D241" s="48"/>
      <c r="E241" s="48"/>
      <c r="F241" s="49"/>
      <c r="G241" s="49"/>
      <c r="H241" s="49"/>
      <c r="I241" s="49">
        <v>1.0</v>
      </c>
      <c r="J241" s="98">
        <v>2.0</v>
      </c>
      <c r="K241" s="53" t="s">
        <v>690</v>
      </c>
      <c r="L241" s="54"/>
      <c r="M241" s="55"/>
      <c r="N241" s="55"/>
      <c r="O241" s="55"/>
      <c r="P241" s="55"/>
      <c r="Q241" s="55"/>
      <c r="R241" s="55"/>
      <c r="S241" s="55"/>
      <c r="T241" s="55"/>
      <c r="U241" s="99" t="s">
        <v>691</v>
      </c>
    </row>
    <row r="242">
      <c r="A242" s="48"/>
      <c r="B242" s="97">
        <v>93.0</v>
      </c>
      <c r="C242" s="49"/>
      <c r="D242" s="48"/>
      <c r="E242" s="48"/>
      <c r="F242" s="49"/>
      <c r="G242" s="49"/>
      <c r="H242" s="49"/>
      <c r="I242" s="49">
        <v>1.0</v>
      </c>
      <c r="J242" s="98">
        <v>3.0</v>
      </c>
      <c r="K242" s="53" t="s">
        <v>692</v>
      </c>
      <c r="L242" s="54"/>
      <c r="M242" s="55"/>
      <c r="N242" s="55"/>
      <c r="O242" s="55"/>
      <c r="P242" s="55"/>
      <c r="Q242" s="55"/>
      <c r="R242" s="55"/>
      <c r="S242" s="55"/>
      <c r="T242" s="55"/>
      <c r="U242" s="99"/>
    </row>
    <row r="243">
      <c r="A243" s="48"/>
      <c r="B243" s="97">
        <v>93.0</v>
      </c>
      <c r="C243" s="49"/>
      <c r="D243" s="48"/>
      <c r="E243" s="48"/>
      <c r="F243" s="49"/>
      <c r="G243" s="49"/>
      <c r="H243" s="49"/>
      <c r="I243" s="49">
        <v>2.0</v>
      </c>
      <c r="J243" s="98">
        <v>1.0</v>
      </c>
      <c r="K243" s="53" t="s">
        <v>687</v>
      </c>
      <c r="L243" s="54"/>
      <c r="M243" s="55"/>
      <c r="N243" s="55"/>
      <c r="O243" s="55"/>
      <c r="P243" s="55"/>
      <c r="Q243" s="55"/>
      <c r="R243" s="55"/>
      <c r="S243" s="55"/>
      <c r="T243" s="55"/>
      <c r="U243" s="99"/>
    </row>
    <row r="244">
      <c r="A244" s="48"/>
      <c r="B244" s="97">
        <v>93.0</v>
      </c>
      <c r="C244" s="49"/>
      <c r="D244" s="48"/>
      <c r="E244" s="48"/>
      <c r="F244" s="49"/>
      <c r="G244" s="49"/>
      <c r="H244" s="49"/>
      <c r="I244" s="49">
        <v>2.0</v>
      </c>
      <c r="J244" s="98">
        <v>2.0</v>
      </c>
      <c r="K244" s="53" t="s">
        <v>690</v>
      </c>
      <c r="L244" s="54"/>
      <c r="M244" s="55"/>
      <c r="N244" s="55"/>
      <c r="O244" s="55"/>
      <c r="P244" s="55"/>
      <c r="Q244" s="55"/>
      <c r="R244" s="55"/>
      <c r="S244" s="55"/>
      <c r="T244" s="55"/>
      <c r="U244" s="99"/>
    </row>
    <row r="245">
      <c r="A245" s="48"/>
      <c r="B245" s="97">
        <v>93.0</v>
      </c>
      <c r="C245" s="49"/>
      <c r="D245" s="48"/>
      <c r="E245" s="48"/>
      <c r="F245" s="49"/>
      <c r="G245" s="49"/>
      <c r="H245" s="49"/>
      <c r="I245" s="49">
        <v>2.0</v>
      </c>
      <c r="J245" s="98">
        <v>3.0</v>
      </c>
      <c r="K245" s="53" t="s">
        <v>692</v>
      </c>
      <c r="L245" s="54"/>
      <c r="M245" s="55"/>
      <c r="N245" s="55"/>
      <c r="O245" s="55"/>
      <c r="P245" s="55"/>
      <c r="Q245" s="55"/>
      <c r="R245" s="55"/>
      <c r="S245" s="55"/>
      <c r="T245" s="55"/>
      <c r="U245" s="99"/>
    </row>
    <row r="246">
      <c r="A246" s="48"/>
      <c r="B246" s="153">
        <v>93.0</v>
      </c>
      <c r="C246" s="154"/>
      <c r="D246" s="155"/>
      <c r="E246" s="155"/>
      <c r="F246" s="154"/>
      <c r="G246" s="154"/>
      <c r="H246" s="154"/>
      <c r="I246" s="154">
        <v>2.0</v>
      </c>
      <c r="J246" s="156">
        <v>4.0</v>
      </c>
      <c r="K246" s="157" t="s">
        <v>693</v>
      </c>
      <c r="L246" s="158"/>
      <c r="M246" s="159"/>
      <c r="N246" s="159"/>
      <c r="O246" s="159"/>
      <c r="P246" s="159"/>
      <c r="Q246" s="159"/>
      <c r="R246" s="159"/>
      <c r="S246" s="159"/>
      <c r="T246" s="159"/>
      <c r="U246" s="126"/>
    </row>
    <row r="247">
      <c r="A247" s="7"/>
      <c r="B247" s="8">
        <v>94.0</v>
      </c>
      <c r="C247" s="14" t="s">
        <v>694</v>
      </c>
      <c r="D247" s="7" t="s">
        <v>695</v>
      </c>
      <c r="E247" s="11"/>
      <c r="F247" s="8" t="s">
        <v>696</v>
      </c>
      <c r="G247" s="8">
        <v>2014.0</v>
      </c>
      <c r="H247" s="8"/>
      <c r="I247" s="8"/>
      <c r="J247" s="84"/>
      <c r="K247" s="16"/>
      <c r="L247" s="13"/>
      <c r="M247" s="15"/>
      <c r="N247" s="15"/>
      <c r="O247" s="15"/>
      <c r="P247" s="15"/>
      <c r="Q247" s="15"/>
      <c r="R247" s="15"/>
      <c r="S247" s="15"/>
      <c r="T247" s="15"/>
      <c r="U247" s="16"/>
    </row>
    <row r="248">
      <c r="A248" s="7"/>
      <c r="B248" s="8">
        <v>95.0</v>
      </c>
      <c r="C248" s="14" t="s">
        <v>697</v>
      </c>
      <c r="D248" s="22" t="s">
        <v>698</v>
      </c>
      <c r="E248" s="7"/>
      <c r="F248" s="8" t="s">
        <v>699</v>
      </c>
      <c r="G248" s="8">
        <v>2002.0</v>
      </c>
      <c r="H248" s="8"/>
      <c r="I248" s="8"/>
      <c r="J248" s="84"/>
      <c r="K248" s="16"/>
      <c r="L248" s="13"/>
      <c r="M248" s="15"/>
      <c r="N248" s="15"/>
      <c r="O248" s="15"/>
      <c r="P248" s="15"/>
      <c r="Q248" s="15"/>
      <c r="R248" s="15"/>
      <c r="S248" s="15"/>
      <c r="T248" s="15"/>
      <c r="U248" s="16"/>
    </row>
    <row r="249">
      <c r="A249" s="7"/>
      <c r="B249" s="8">
        <v>96.0</v>
      </c>
      <c r="C249" s="14" t="s">
        <v>700</v>
      </c>
      <c r="D249" s="7" t="s">
        <v>701</v>
      </c>
      <c r="E249" s="11"/>
      <c r="F249" s="8" t="s">
        <v>702</v>
      </c>
      <c r="G249" s="8">
        <v>2015.0</v>
      </c>
      <c r="H249" s="8"/>
      <c r="I249" s="8"/>
      <c r="J249" s="84"/>
      <c r="K249" s="16"/>
      <c r="L249" s="13"/>
      <c r="M249" s="15"/>
      <c r="N249" s="15"/>
      <c r="O249" s="15"/>
      <c r="P249" s="15"/>
      <c r="Q249" s="15"/>
      <c r="R249" s="15"/>
      <c r="S249" s="15"/>
      <c r="T249" s="15"/>
      <c r="U249" s="16"/>
    </row>
    <row r="250">
      <c r="A250" s="7"/>
      <c r="B250" s="8">
        <v>97.0</v>
      </c>
      <c r="C250" s="14" t="s">
        <v>703</v>
      </c>
      <c r="D250" s="7" t="s">
        <v>177</v>
      </c>
      <c r="E250" s="7" t="s">
        <v>32</v>
      </c>
      <c r="F250" s="8" t="s">
        <v>704</v>
      </c>
      <c r="G250" s="8">
        <v>2009.0</v>
      </c>
      <c r="H250" s="8"/>
      <c r="I250" s="8"/>
      <c r="J250" s="84"/>
      <c r="K250" s="16"/>
      <c r="L250" s="13"/>
      <c r="M250" s="15"/>
      <c r="N250" s="15"/>
      <c r="O250" s="15"/>
      <c r="P250" s="15"/>
      <c r="Q250" s="15"/>
      <c r="R250" s="15"/>
      <c r="S250" s="15"/>
      <c r="T250" s="15"/>
      <c r="U250" s="16"/>
    </row>
    <row r="251">
      <c r="A251" s="7"/>
      <c r="B251" s="8">
        <v>98.0</v>
      </c>
      <c r="C251" s="14" t="s">
        <v>705</v>
      </c>
      <c r="D251" s="7" t="s">
        <v>43</v>
      </c>
      <c r="E251" s="11"/>
      <c r="F251" s="8" t="s">
        <v>706</v>
      </c>
      <c r="G251" s="8">
        <v>2010.0</v>
      </c>
      <c r="H251" s="8"/>
      <c r="I251" s="8"/>
      <c r="J251" s="84"/>
      <c r="K251" s="16"/>
      <c r="L251" s="13"/>
      <c r="M251" s="15"/>
      <c r="N251" s="15"/>
      <c r="O251" s="15"/>
      <c r="P251" s="15"/>
      <c r="Q251" s="15"/>
      <c r="R251" s="15"/>
      <c r="S251" s="15"/>
      <c r="T251" s="15"/>
      <c r="U251" s="16"/>
    </row>
    <row r="252">
      <c r="A252" s="7"/>
      <c r="B252" s="8">
        <v>99.0</v>
      </c>
      <c r="C252" s="14" t="s">
        <v>707</v>
      </c>
      <c r="D252" s="11"/>
      <c r="E252" s="7" t="s">
        <v>32</v>
      </c>
      <c r="F252" s="8" t="s">
        <v>537</v>
      </c>
      <c r="G252" s="8">
        <v>2010.0</v>
      </c>
      <c r="H252" s="8"/>
      <c r="I252" s="8"/>
      <c r="J252" s="84"/>
      <c r="K252" s="16"/>
      <c r="L252" s="13"/>
      <c r="M252" s="15"/>
      <c r="N252" s="15"/>
      <c r="O252" s="15"/>
      <c r="P252" s="15"/>
      <c r="Q252" s="15"/>
      <c r="R252" s="15"/>
      <c r="S252" s="15"/>
      <c r="T252" s="15"/>
      <c r="U252" s="16"/>
    </row>
    <row r="253">
      <c r="A253" s="7"/>
      <c r="B253" s="8">
        <v>100.0</v>
      </c>
      <c r="C253" s="14" t="s">
        <v>708</v>
      </c>
      <c r="D253" s="7" t="s">
        <v>709</v>
      </c>
      <c r="E253" s="11"/>
      <c r="F253" s="8" t="s">
        <v>710</v>
      </c>
      <c r="G253" s="8">
        <v>2006.0</v>
      </c>
      <c r="H253" s="8"/>
      <c r="I253" s="8"/>
      <c r="J253" s="84"/>
      <c r="K253" s="16"/>
      <c r="L253" s="13"/>
      <c r="M253" s="15"/>
      <c r="N253" s="15"/>
      <c r="O253" s="15"/>
      <c r="P253" s="15"/>
      <c r="Q253" s="15"/>
      <c r="R253" s="15"/>
      <c r="S253" s="15"/>
      <c r="T253" s="15"/>
      <c r="U253" s="16"/>
    </row>
    <row r="254">
      <c r="A254" s="7"/>
      <c r="B254" s="8">
        <v>101.0</v>
      </c>
      <c r="C254" s="14" t="s">
        <v>711</v>
      </c>
      <c r="D254" s="7" t="s">
        <v>712</v>
      </c>
      <c r="E254" s="11"/>
      <c r="F254" s="8" t="s">
        <v>713</v>
      </c>
      <c r="G254" s="8">
        <v>2005.0</v>
      </c>
      <c r="H254" s="8"/>
      <c r="I254" s="8"/>
      <c r="J254" s="84"/>
      <c r="K254" s="16"/>
      <c r="L254" s="13"/>
      <c r="M254" s="15"/>
      <c r="N254" s="15"/>
      <c r="O254" s="15"/>
      <c r="P254" s="15"/>
      <c r="Q254" s="15"/>
      <c r="R254" s="15"/>
      <c r="S254" s="15"/>
      <c r="T254" s="15"/>
      <c r="U254" s="16"/>
    </row>
    <row r="255">
      <c r="A255" s="41"/>
      <c r="B255" s="86">
        <v>102.0</v>
      </c>
      <c r="C255" s="87" t="s">
        <v>714</v>
      </c>
      <c r="D255" s="88" t="s">
        <v>48</v>
      </c>
      <c r="E255" s="88" t="s">
        <v>32</v>
      </c>
      <c r="F255" s="89" t="s">
        <v>715</v>
      </c>
      <c r="G255" s="89">
        <v>2000.0</v>
      </c>
      <c r="H255" s="89">
        <v>1.0</v>
      </c>
      <c r="I255" s="89">
        <v>1.0</v>
      </c>
      <c r="J255" s="90">
        <v>1.0</v>
      </c>
      <c r="K255" s="91" t="s">
        <v>716</v>
      </c>
      <c r="L255" s="91" t="s">
        <v>717</v>
      </c>
      <c r="M255" s="90" t="s">
        <v>718</v>
      </c>
      <c r="N255" s="90" t="s">
        <v>169</v>
      </c>
      <c r="O255" s="92"/>
      <c r="P255" s="92"/>
      <c r="Q255" s="92"/>
      <c r="R255" s="92">
        <f>FDIST(3.35,3,193)</f>
        <v>0.02013866673</v>
      </c>
      <c r="S255" s="92">
        <f t="shared" ref="S255:S256" si="40">NORMINV(1-R255/2,0,1)</f>
        <v>2.323754293</v>
      </c>
      <c r="T255" s="92">
        <f t="shared" ref="T255:T256" si="41">NORMDIST(S255,1.96,1,TRUE)</f>
        <v>0.6419792518</v>
      </c>
      <c r="U255" s="93"/>
    </row>
    <row r="256">
      <c r="A256" s="41">
        <v>1.0</v>
      </c>
      <c r="B256" s="42">
        <v>102.0</v>
      </c>
      <c r="C256" s="43"/>
      <c r="D256" s="94"/>
      <c r="E256" s="41"/>
      <c r="F256" s="60"/>
      <c r="G256" s="60"/>
      <c r="H256" s="43">
        <v>1.0</v>
      </c>
      <c r="I256" s="43">
        <v>1.0</v>
      </c>
      <c r="J256" s="44">
        <v>2.0</v>
      </c>
      <c r="K256" s="45" t="s">
        <v>719</v>
      </c>
      <c r="L256" s="45" t="s">
        <v>720</v>
      </c>
      <c r="M256" s="44" t="s">
        <v>721</v>
      </c>
      <c r="N256" s="44" t="s">
        <v>128</v>
      </c>
      <c r="O256" s="47"/>
      <c r="P256" s="47"/>
      <c r="Q256" s="47"/>
      <c r="R256" s="47">
        <f>FDIST(11.73,3,184)</f>
        <v>0.0000004553842665</v>
      </c>
      <c r="S256" s="47">
        <f t="shared" si="40"/>
        <v>5.044216166</v>
      </c>
      <c r="T256" s="47">
        <f t="shared" si="41"/>
        <v>0.9989795538</v>
      </c>
      <c r="U256" s="50"/>
    </row>
    <row r="257">
      <c r="A257" s="48"/>
      <c r="B257" s="97">
        <v>102.0</v>
      </c>
      <c r="C257" s="49"/>
      <c r="D257" s="160"/>
      <c r="E257" s="48"/>
      <c r="F257" s="56"/>
      <c r="G257" s="56"/>
      <c r="H257" s="49"/>
      <c r="I257" s="49">
        <v>1.0</v>
      </c>
      <c r="J257" s="98">
        <v>3.0</v>
      </c>
      <c r="K257" s="53" t="s">
        <v>722</v>
      </c>
      <c r="L257" s="53" t="s">
        <v>723</v>
      </c>
      <c r="M257" s="98" t="s">
        <v>724</v>
      </c>
      <c r="N257" s="55"/>
      <c r="O257" s="55"/>
      <c r="P257" s="55"/>
      <c r="Q257" s="55"/>
      <c r="R257" s="55"/>
      <c r="S257" s="55"/>
      <c r="T257" s="55"/>
      <c r="U257" s="99" t="s">
        <v>725</v>
      </c>
    </row>
    <row r="258">
      <c r="A258" s="48"/>
      <c r="B258" s="97">
        <v>102.0</v>
      </c>
      <c r="C258" s="49"/>
      <c r="D258" s="160"/>
      <c r="E258" s="48"/>
      <c r="F258" s="56"/>
      <c r="G258" s="56"/>
      <c r="H258" s="49"/>
      <c r="I258" s="49">
        <v>2.0</v>
      </c>
      <c r="J258" s="98">
        <v>1.0</v>
      </c>
      <c r="K258" s="53" t="s">
        <v>726</v>
      </c>
      <c r="L258" s="53" t="s">
        <v>727</v>
      </c>
      <c r="M258" s="98" t="s">
        <v>724</v>
      </c>
      <c r="N258" s="55"/>
      <c r="O258" s="55"/>
      <c r="P258" s="55"/>
      <c r="Q258" s="55"/>
      <c r="R258" s="55"/>
      <c r="S258" s="55"/>
      <c r="T258" s="55"/>
      <c r="U258" s="161" t="s">
        <v>728</v>
      </c>
    </row>
    <row r="259">
      <c r="A259" s="41">
        <v>1.0</v>
      </c>
      <c r="B259" s="42">
        <v>102.0</v>
      </c>
      <c r="C259" s="43"/>
      <c r="D259" s="94"/>
      <c r="E259" s="41"/>
      <c r="F259" s="60"/>
      <c r="G259" s="60"/>
      <c r="H259" s="43">
        <v>2.0</v>
      </c>
      <c r="I259" s="43">
        <v>2.0</v>
      </c>
      <c r="J259" s="44">
        <v>2.0</v>
      </c>
      <c r="K259" s="45" t="s">
        <v>729</v>
      </c>
      <c r="L259" s="45" t="s">
        <v>730</v>
      </c>
      <c r="M259" s="44" t="s">
        <v>731</v>
      </c>
      <c r="N259" s="44" t="s">
        <v>169</v>
      </c>
      <c r="O259" s="47"/>
      <c r="P259" s="47"/>
      <c r="Q259" s="47"/>
      <c r="R259" s="47">
        <f>FDIST(5.91,1,185)</f>
        <v>0.01600884267</v>
      </c>
      <c r="S259" s="47">
        <f>NORMINV(1-R259/2,0,1)</f>
        <v>2.408713889</v>
      </c>
      <c r="T259" s="47">
        <f>NORMDIST(S259,1.96,1,TRUE)</f>
        <v>0.673180968</v>
      </c>
      <c r="U259" s="50"/>
    </row>
    <row r="260">
      <c r="A260" s="48"/>
      <c r="B260" s="153">
        <v>102.0</v>
      </c>
      <c r="C260" s="154"/>
      <c r="D260" s="162"/>
      <c r="E260" s="155"/>
      <c r="F260" s="163"/>
      <c r="G260" s="163"/>
      <c r="H260" s="154"/>
      <c r="I260" s="154">
        <v>2.0</v>
      </c>
      <c r="J260" s="156">
        <v>3.0</v>
      </c>
      <c r="K260" s="154" t="s">
        <v>732</v>
      </c>
      <c r="L260" s="157" t="s">
        <v>733</v>
      </c>
      <c r="M260" s="156" t="s">
        <v>724</v>
      </c>
      <c r="N260" s="159"/>
      <c r="O260" s="159"/>
      <c r="P260" s="159"/>
      <c r="Q260" s="159"/>
      <c r="R260" s="159"/>
      <c r="S260" s="159"/>
      <c r="T260" s="159"/>
      <c r="U260" s="126"/>
    </row>
    <row r="261">
      <c r="A261" s="7"/>
      <c r="B261" s="8">
        <v>103.0</v>
      </c>
      <c r="C261" s="14" t="s">
        <v>734</v>
      </c>
      <c r="D261" s="11"/>
      <c r="E261" s="7" t="s">
        <v>638</v>
      </c>
      <c r="F261" s="12"/>
      <c r="G261" s="12"/>
      <c r="H261" s="8"/>
      <c r="I261" s="8"/>
      <c r="J261" s="84"/>
      <c r="K261" s="16"/>
      <c r="L261" s="13"/>
      <c r="M261" s="15"/>
      <c r="N261" s="15"/>
      <c r="O261" s="15"/>
      <c r="P261" s="15"/>
      <c r="Q261" s="15"/>
      <c r="R261" s="15"/>
      <c r="S261" s="15"/>
      <c r="T261" s="15"/>
      <c r="U261" s="16" t="s">
        <v>638</v>
      </c>
    </row>
    <row r="262">
      <c r="A262" s="41">
        <v>1.0</v>
      </c>
      <c r="B262" s="86">
        <v>104.0</v>
      </c>
      <c r="C262" s="87" t="s">
        <v>735</v>
      </c>
      <c r="D262" s="88" t="s">
        <v>48</v>
      </c>
      <c r="E262" s="88" t="s">
        <v>32</v>
      </c>
      <c r="F262" s="89" t="s">
        <v>736</v>
      </c>
      <c r="G262" s="89">
        <v>2002.0</v>
      </c>
      <c r="H262" s="89">
        <v>1.0</v>
      </c>
      <c r="I262" s="89">
        <v>1.0</v>
      </c>
      <c r="J262" s="90">
        <v>1.0</v>
      </c>
      <c r="K262" s="91" t="s">
        <v>737</v>
      </c>
      <c r="L262" s="91" t="s">
        <v>738</v>
      </c>
      <c r="M262" s="90" t="s">
        <v>739</v>
      </c>
      <c r="N262" s="90" t="s">
        <v>740</v>
      </c>
      <c r="O262" s="92"/>
      <c r="P262" s="90" t="s">
        <v>741</v>
      </c>
      <c r="Q262" s="92"/>
      <c r="R262" s="92">
        <f>FDIST(46.65,5,1161)</f>
        <v>0</v>
      </c>
      <c r="S262" s="92" t="str">
        <f>NORMINV(1-R262/2,0,1)</f>
        <v>#NUM!</v>
      </c>
      <c r="T262" s="92"/>
      <c r="U262" s="93" t="s">
        <v>742</v>
      </c>
    </row>
    <row r="263">
      <c r="A263" s="22"/>
      <c r="B263" s="74">
        <v>104.0</v>
      </c>
      <c r="C263" s="62"/>
      <c r="D263" s="22"/>
      <c r="E263" s="127"/>
      <c r="F263" s="62"/>
      <c r="G263" s="62"/>
      <c r="H263" s="62"/>
      <c r="I263" s="62">
        <v>1.0</v>
      </c>
      <c r="J263" s="63">
        <v>1.0</v>
      </c>
      <c r="K263" s="64" t="s">
        <v>743</v>
      </c>
      <c r="L263" s="65"/>
      <c r="M263" s="66"/>
      <c r="N263" s="66"/>
      <c r="O263" s="66"/>
      <c r="P263" s="66"/>
      <c r="Q263" s="66"/>
      <c r="R263" s="66"/>
      <c r="S263" s="66"/>
      <c r="T263" s="66"/>
      <c r="U263" s="67"/>
    </row>
    <row r="264">
      <c r="A264" s="22"/>
      <c r="B264" s="74">
        <v>104.0</v>
      </c>
      <c r="C264" s="62"/>
      <c r="D264" s="22"/>
      <c r="E264" s="127"/>
      <c r="F264" s="62"/>
      <c r="G264" s="62"/>
      <c r="H264" s="62"/>
      <c r="I264" s="62">
        <v>1.0</v>
      </c>
      <c r="J264" s="63">
        <v>1.0</v>
      </c>
      <c r="K264" s="64" t="s">
        <v>744</v>
      </c>
      <c r="L264" s="65"/>
      <c r="M264" s="66"/>
      <c r="N264" s="66"/>
      <c r="O264" s="66"/>
      <c r="P264" s="66"/>
      <c r="Q264" s="66"/>
      <c r="R264" s="66"/>
      <c r="S264" s="66"/>
      <c r="T264" s="66"/>
      <c r="U264" s="67"/>
    </row>
    <row r="265">
      <c r="A265" s="22"/>
      <c r="B265" s="74">
        <v>104.0</v>
      </c>
      <c r="C265" s="62"/>
      <c r="D265" s="22"/>
      <c r="E265" s="127"/>
      <c r="F265" s="62"/>
      <c r="G265" s="62"/>
      <c r="H265" s="62"/>
      <c r="I265" s="62">
        <v>1.0</v>
      </c>
      <c r="J265" s="63">
        <v>1.0</v>
      </c>
      <c r="K265" s="64" t="s">
        <v>745</v>
      </c>
      <c r="L265" s="65"/>
      <c r="M265" s="66"/>
      <c r="N265" s="66"/>
      <c r="O265" s="66"/>
      <c r="P265" s="66"/>
      <c r="Q265" s="66"/>
      <c r="R265" s="66"/>
      <c r="S265" s="66"/>
      <c r="T265" s="66"/>
      <c r="U265" s="67"/>
    </row>
    <row r="266">
      <c r="A266" s="22"/>
      <c r="B266" s="74">
        <v>104.0</v>
      </c>
      <c r="C266" s="62"/>
      <c r="D266" s="22"/>
      <c r="E266" s="127"/>
      <c r="F266" s="62"/>
      <c r="G266" s="62"/>
      <c r="H266" s="62"/>
      <c r="I266" s="62">
        <v>1.0</v>
      </c>
      <c r="J266" s="63">
        <v>1.0</v>
      </c>
      <c r="K266" s="64" t="s">
        <v>746</v>
      </c>
      <c r="L266" s="65"/>
      <c r="M266" s="66"/>
      <c r="N266" s="66"/>
      <c r="O266" s="66"/>
      <c r="P266" s="66"/>
      <c r="Q266" s="66"/>
      <c r="R266" s="66"/>
      <c r="S266" s="66"/>
      <c r="T266" s="66"/>
      <c r="U266" s="67"/>
    </row>
    <row r="267">
      <c r="A267" s="22"/>
      <c r="B267" s="74">
        <v>104.0</v>
      </c>
      <c r="C267" s="62"/>
      <c r="D267" s="22"/>
      <c r="E267" s="127"/>
      <c r="F267" s="62"/>
      <c r="G267" s="62"/>
      <c r="H267" s="62"/>
      <c r="I267" s="62">
        <v>1.0</v>
      </c>
      <c r="J267" s="63">
        <v>2.0</v>
      </c>
      <c r="K267" s="64" t="s">
        <v>747</v>
      </c>
      <c r="L267" s="65"/>
      <c r="M267" s="66"/>
      <c r="N267" s="66"/>
      <c r="O267" s="66"/>
      <c r="P267" s="66"/>
      <c r="Q267" s="66"/>
      <c r="R267" s="66"/>
      <c r="S267" s="66"/>
      <c r="T267" s="66"/>
      <c r="U267" s="67"/>
    </row>
    <row r="268">
      <c r="A268" s="22"/>
      <c r="B268" s="74">
        <v>104.0</v>
      </c>
      <c r="C268" s="62"/>
      <c r="D268" s="22"/>
      <c r="E268" s="127"/>
      <c r="F268" s="62"/>
      <c r="G268" s="62"/>
      <c r="H268" s="62"/>
      <c r="I268" s="62">
        <v>1.0</v>
      </c>
      <c r="J268" s="63">
        <v>3.0</v>
      </c>
      <c r="K268" s="64" t="s">
        <v>748</v>
      </c>
      <c r="L268" s="65"/>
      <c r="M268" s="66"/>
      <c r="N268" s="66"/>
      <c r="O268" s="66"/>
      <c r="P268" s="66"/>
      <c r="Q268" s="66"/>
      <c r="R268" s="66"/>
      <c r="S268" s="66"/>
      <c r="T268" s="66"/>
      <c r="U268" s="67"/>
    </row>
    <row r="269">
      <c r="A269" s="22"/>
      <c r="B269" s="104">
        <v>104.0</v>
      </c>
      <c r="C269" s="105"/>
      <c r="D269" s="106"/>
      <c r="E269" s="129"/>
      <c r="F269" s="105"/>
      <c r="G269" s="105"/>
      <c r="H269" s="105"/>
      <c r="I269" s="105">
        <v>1.0</v>
      </c>
      <c r="J269" s="107"/>
      <c r="K269" s="108" t="s">
        <v>749</v>
      </c>
      <c r="L269" s="109"/>
      <c r="M269" s="110"/>
      <c r="N269" s="110"/>
      <c r="O269" s="110"/>
      <c r="P269" s="110"/>
      <c r="Q269" s="110"/>
      <c r="R269" s="110"/>
      <c r="S269" s="110"/>
      <c r="T269" s="110"/>
      <c r="U269" s="111"/>
    </row>
    <row r="270">
      <c r="A270" s="7"/>
      <c r="B270" s="8">
        <v>105.0</v>
      </c>
      <c r="C270" s="14" t="s">
        <v>750</v>
      </c>
      <c r="D270" s="7" t="s">
        <v>751</v>
      </c>
      <c r="E270" s="11"/>
      <c r="F270" s="8" t="s">
        <v>752</v>
      </c>
      <c r="G270" s="8">
        <v>2017.0</v>
      </c>
      <c r="H270" s="8"/>
      <c r="I270" s="8"/>
      <c r="J270" s="84"/>
      <c r="K270" s="16"/>
      <c r="L270" s="13"/>
      <c r="M270" s="15"/>
      <c r="N270" s="15"/>
      <c r="O270" s="15"/>
      <c r="P270" s="15"/>
      <c r="Q270" s="15"/>
      <c r="R270" s="15"/>
      <c r="S270" s="15"/>
      <c r="T270" s="15"/>
      <c r="U270" s="16"/>
    </row>
    <row r="271">
      <c r="A271" s="7"/>
      <c r="B271" s="8">
        <v>106.0</v>
      </c>
      <c r="C271" s="14" t="s">
        <v>753</v>
      </c>
      <c r="D271" s="7" t="s">
        <v>754</v>
      </c>
      <c r="E271" s="7" t="s">
        <v>32</v>
      </c>
      <c r="F271" s="8" t="s">
        <v>755</v>
      </c>
      <c r="G271" s="8">
        <v>2016.0</v>
      </c>
      <c r="H271" s="116"/>
      <c r="I271" s="116"/>
      <c r="J271" s="118"/>
      <c r="K271" s="119"/>
      <c r="L271" s="13"/>
      <c r="M271" s="15"/>
      <c r="N271" s="15"/>
      <c r="O271" s="15"/>
      <c r="P271" s="15"/>
      <c r="Q271" s="15"/>
      <c r="R271" s="15"/>
      <c r="S271" s="15"/>
      <c r="T271" s="15"/>
      <c r="U271" s="16"/>
    </row>
    <row r="272">
      <c r="A272" s="7"/>
      <c r="B272" s="8">
        <v>107.0</v>
      </c>
      <c r="C272" s="14" t="s">
        <v>756</v>
      </c>
      <c r="D272" s="7" t="s">
        <v>757</v>
      </c>
      <c r="E272" s="11"/>
      <c r="F272" s="8" t="s">
        <v>758</v>
      </c>
      <c r="G272" s="8">
        <v>2001.0</v>
      </c>
      <c r="H272" s="8"/>
      <c r="I272" s="8"/>
      <c r="J272" s="84"/>
      <c r="K272" s="16"/>
      <c r="L272" s="13"/>
      <c r="M272" s="15"/>
      <c r="N272" s="15"/>
      <c r="O272" s="15"/>
      <c r="P272" s="15"/>
      <c r="Q272" s="15"/>
      <c r="R272" s="15"/>
      <c r="S272" s="15"/>
      <c r="T272" s="15"/>
      <c r="U272" s="16"/>
    </row>
    <row r="273">
      <c r="A273" s="7"/>
      <c r="B273" s="8">
        <v>108.0</v>
      </c>
      <c r="C273" s="14" t="s">
        <v>759</v>
      </c>
      <c r="D273" s="7" t="s">
        <v>760</v>
      </c>
      <c r="E273" s="11"/>
      <c r="F273" s="8" t="s">
        <v>761</v>
      </c>
      <c r="G273" s="8">
        <v>2015.0</v>
      </c>
      <c r="H273" s="8"/>
      <c r="I273" s="8"/>
      <c r="J273" s="84"/>
      <c r="K273" s="16"/>
      <c r="L273" s="13"/>
      <c r="M273" s="15"/>
      <c r="N273" s="15"/>
      <c r="O273" s="15"/>
      <c r="P273" s="15"/>
      <c r="Q273" s="15"/>
      <c r="R273" s="15"/>
      <c r="S273" s="15"/>
      <c r="T273" s="15"/>
      <c r="U273" s="16"/>
    </row>
    <row r="274">
      <c r="A274" s="7"/>
      <c r="B274" s="8">
        <v>109.0</v>
      </c>
      <c r="C274" s="14" t="s">
        <v>762</v>
      </c>
      <c r="D274" s="7" t="s">
        <v>444</v>
      </c>
      <c r="E274" s="7"/>
      <c r="F274" s="8" t="s">
        <v>763</v>
      </c>
      <c r="G274" s="8">
        <v>2007.0</v>
      </c>
      <c r="H274" s="8"/>
      <c r="I274" s="8"/>
      <c r="J274" s="84"/>
      <c r="K274" s="16"/>
      <c r="L274" s="13"/>
      <c r="M274" s="15"/>
      <c r="N274" s="15"/>
      <c r="O274" s="15"/>
      <c r="P274" s="15"/>
      <c r="Q274" s="15"/>
      <c r="R274" s="15"/>
      <c r="S274" s="15"/>
      <c r="T274" s="15"/>
      <c r="U274" s="16"/>
    </row>
    <row r="275">
      <c r="A275" s="7"/>
      <c r="B275" s="8">
        <v>110.0</v>
      </c>
      <c r="C275" s="14" t="s">
        <v>764</v>
      </c>
      <c r="D275" s="7" t="s">
        <v>765</v>
      </c>
      <c r="E275" s="7"/>
      <c r="F275" s="8" t="s">
        <v>766</v>
      </c>
      <c r="G275" s="8">
        <v>2009.0</v>
      </c>
      <c r="H275" s="8"/>
      <c r="I275" s="8"/>
      <c r="J275" s="84"/>
      <c r="K275" s="16"/>
      <c r="L275" s="13"/>
      <c r="M275" s="15"/>
      <c r="N275" s="15"/>
      <c r="O275" s="15"/>
      <c r="P275" s="15"/>
      <c r="Q275" s="15"/>
      <c r="R275" s="15"/>
      <c r="S275" s="15"/>
      <c r="T275" s="15"/>
      <c r="U275" s="16"/>
    </row>
    <row r="276">
      <c r="A276" s="7"/>
      <c r="B276" s="8">
        <v>111.0</v>
      </c>
      <c r="C276" s="164" t="s">
        <v>767</v>
      </c>
      <c r="D276" s="165"/>
      <c r="E276" s="166" t="s">
        <v>768</v>
      </c>
      <c r="F276" s="165" t="s">
        <v>769</v>
      </c>
      <c r="G276" s="167">
        <v>2018.0</v>
      </c>
      <c r="H276" s="8"/>
      <c r="I276" s="8"/>
      <c r="J276" s="84"/>
      <c r="K276" s="16"/>
      <c r="L276" s="13"/>
      <c r="M276" s="15"/>
      <c r="N276" s="15"/>
      <c r="O276" s="15"/>
      <c r="P276" s="15"/>
      <c r="Q276" s="15"/>
      <c r="R276" s="15"/>
      <c r="S276" s="15"/>
      <c r="T276" s="15"/>
      <c r="U276" s="16"/>
    </row>
    <row r="277">
      <c r="A277" s="7"/>
      <c r="B277" s="8">
        <v>112.0</v>
      </c>
      <c r="C277" s="164" t="s">
        <v>770</v>
      </c>
      <c r="D277" s="168" t="s">
        <v>771</v>
      </c>
      <c r="E277" s="169" t="s">
        <v>32</v>
      </c>
      <c r="F277" s="165" t="s">
        <v>772</v>
      </c>
      <c r="G277" s="167">
        <v>2000.0</v>
      </c>
      <c r="H277" s="8"/>
      <c r="I277" s="8"/>
      <c r="J277" s="84"/>
      <c r="K277" s="16"/>
      <c r="L277" s="13"/>
      <c r="M277" s="15"/>
      <c r="N277" s="15"/>
      <c r="O277" s="15"/>
      <c r="P277" s="15"/>
      <c r="Q277" s="15"/>
      <c r="R277" s="15"/>
      <c r="S277" s="15"/>
      <c r="T277" s="15"/>
      <c r="U277" s="16"/>
    </row>
    <row r="278">
      <c r="A278" s="7"/>
      <c r="B278" s="8">
        <v>113.0</v>
      </c>
      <c r="C278" s="164" t="s">
        <v>773</v>
      </c>
      <c r="D278" s="169" t="s">
        <v>760</v>
      </c>
      <c r="E278" s="170"/>
      <c r="F278" s="165" t="s">
        <v>774</v>
      </c>
      <c r="G278" s="167">
        <v>2015.0</v>
      </c>
      <c r="H278" s="8"/>
      <c r="I278" s="8"/>
      <c r="J278" s="84"/>
      <c r="K278" s="16"/>
      <c r="L278" s="13"/>
      <c r="M278" s="15"/>
      <c r="N278" s="15"/>
      <c r="O278" s="15"/>
      <c r="P278" s="15"/>
      <c r="Q278" s="15"/>
      <c r="R278" s="15"/>
      <c r="S278" s="15"/>
      <c r="T278" s="15"/>
      <c r="U278" s="16"/>
    </row>
    <row r="279">
      <c r="A279" s="7"/>
      <c r="B279" s="8">
        <v>114.0</v>
      </c>
      <c r="C279" s="164" t="s">
        <v>775</v>
      </c>
      <c r="D279" s="165"/>
      <c r="E279" s="166" t="s">
        <v>768</v>
      </c>
      <c r="F279" s="165" t="s">
        <v>776</v>
      </c>
      <c r="G279" s="167">
        <v>2018.0</v>
      </c>
      <c r="H279" s="8"/>
      <c r="I279" s="8"/>
      <c r="J279" s="84"/>
      <c r="K279" s="16"/>
      <c r="L279" s="13"/>
      <c r="M279" s="15"/>
      <c r="N279" s="15"/>
      <c r="O279" s="15"/>
      <c r="P279" s="15"/>
      <c r="Q279" s="15"/>
      <c r="R279" s="15"/>
      <c r="S279" s="15"/>
      <c r="T279" s="15"/>
      <c r="U279" s="16"/>
    </row>
    <row r="280">
      <c r="A280" s="22"/>
      <c r="B280" s="24">
        <v>115.0</v>
      </c>
      <c r="C280" s="171" t="s">
        <v>777</v>
      </c>
      <c r="D280" s="172" t="s">
        <v>778</v>
      </c>
      <c r="E280" s="173" t="s">
        <v>779</v>
      </c>
      <c r="F280" s="174" t="s">
        <v>780</v>
      </c>
      <c r="G280" s="175">
        <v>2013.0</v>
      </c>
      <c r="H280" s="35"/>
      <c r="I280" s="35">
        <v>1.0</v>
      </c>
      <c r="J280" s="36" t="s">
        <v>199</v>
      </c>
      <c r="K280" s="37" t="s">
        <v>781</v>
      </c>
      <c r="L280" s="38"/>
      <c r="M280" s="39"/>
      <c r="N280" s="39"/>
      <c r="O280" s="39"/>
      <c r="P280" s="39"/>
      <c r="Q280" s="39"/>
      <c r="R280" s="39"/>
      <c r="S280" s="39" t="str">
        <f>NORMINV(1-R280/2,0,1)</f>
        <v>#NUM!</v>
      </c>
      <c r="T280" s="39" t="str">
        <f>NORMDIST(S280,1.96,1,TRUE)</f>
        <v>#NUM!</v>
      </c>
      <c r="U280" s="40"/>
    </row>
    <row r="281">
      <c r="A281" s="22"/>
      <c r="B281" s="74">
        <v>115.0</v>
      </c>
      <c r="C281" s="176"/>
      <c r="D281" s="177"/>
      <c r="E281" s="178"/>
      <c r="F281" s="179"/>
      <c r="G281" s="180"/>
      <c r="H281" s="62"/>
      <c r="I281" s="62">
        <v>1.0</v>
      </c>
      <c r="J281" s="63" t="s">
        <v>206</v>
      </c>
      <c r="K281" s="64" t="s">
        <v>782</v>
      </c>
      <c r="L281" s="65"/>
      <c r="M281" s="66"/>
      <c r="N281" s="66"/>
      <c r="O281" s="66"/>
      <c r="P281" s="66"/>
      <c r="Q281" s="66"/>
      <c r="R281" s="66"/>
      <c r="S281" s="66"/>
      <c r="T281" s="66"/>
      <c r="U281" s="67"/>
    </row>
    <row r="282">
      <c r="A282" s="41">
        <v>1.0</v>
      </c>
      <c r="B282" s="42">
        <v>115.0</v>
      </c>
      <c r="C282" s="181"/>
      <c r="D282" s="182"/>
      <c r="E282" s="183"/>
      <c r="F282" s="184"/>
      <c r="G282" s="185"/>
      <c r="H282" s="43">
        <v>1.0</v>
      </c>
      <c r="I282" s="43">
        <v>2.0</v>
      </c>
      <c r="J282" s="44" t="s">
        <v>199</v>
      </c>
      <c r="K282" s="45" t="s">
        <v>783</v>
      </c>
      <c r="L282" s="45" t="s">
        <v>784</v>
      </c>
      <c r="M282" s="44" t="s">
        <v>785</v>
      </c>
      <c r="N282" s="44" t="s">
        <v>786</v>
      </c>
      <c r="O282" s="47"/>
      <c r="P282" s="47"/>
      <c r="Q282" s="47"/>
      <c r="R282" s="47">
        <f>FDIST(4,1,222)</f>
        <v>0.04671883634</v>
      </c>
      <c r="S282" s="47">
        <f>NORMINV(1-R282/2,0,1)</f>
        <v>1.988840271</v>
      </c>
      <c r="T282" s="47">
        <f>NORMDIST(S282,1.96,1,TRUE)</f>
        <v>0.5115040087</v>
      </c>
      <c r="U282" s="50"/>
    </row>
    <row r="283">
      <c r="A283" s="22"/>
      <c r="B283" s="104">
        <v>115.0</v>
      </c>
      <c r="C283" s="186"/>
      <c r="D283" s="187"/>
      <c r="E283" s="188"/>
      <c r="F283" s="189"/>
      <c r="G283" s="190"/>
      <c r="H283" s="105"/>
      <c r="I283" s="105">
        <v>2.0</v>
      </c>
      <c r="J283" s="107" t="s">
        <v>206</v>
      </c>
      <c r="K283" s="108"/>
      <c r="L283" s="109"/>
      <c r="M283" s="110"/>
      <c r="N283" s="110"/>
      <c r="O283" s="110"/>
      <c r="P283" s="110"/>
      <c r="Q283" s="110"/>
      <c r="R283" s="110"/>
      <c r="S283" s="110"/>
      <c r="T283" s="110"/>
      <c r="U283" s="111"/>
    </row>
    <row r="284">
      <c r="A284" s="7"/>
      <c r="B284" s="8"/>
      <c r="C284" s="164"/>
      <c r="D284" s="166"/>
      <c r="E284" s="168"/>
      <c r="F284" s="170"/>
      <c r="G284" s="191"/>
      <c r="H284" s="8"/>
      <c r="I284" s="8"/>
      <c r="J284" s="84"/>
      <c r="K284" s="16"/>
      <c r="L284" s="13"/>
      <c r="M284" s="15"/>
      <c r="N284" s="15"/>
      <c r="O284" s="15"/>
      <c r="P284" s="15"/>
      <c r="Q284" s="15"/>
      <c r="R284" s="15"/>
      <c r="S284" s="15"/>
      <c r="T284" s="15"/>
      <c r="U284" s="16"/>
    </row>
    <row r="285">
      <c r="A285" s="7"/>
      <c r="B285" s="8">
        <v>116.0</v>
      </c>
      <c r="C285" s="164" t="s">
        <v>787</v>
      </c>
      <c r="D285" s="168" t="s">
        <v>31</v>
      </c>
      <c r="E285" s="168" t="s">
        <v>779</v>
      </c>
      <c r="F285" s="170" t="s">
        <v>788</v>
      </c>
      <c r="G285" s="191">
        <v>2004.0</v>
      </c>
      <c r="H285" s="8"/>
      <c r="I285" s="8"/>
      <c r="J285" s="84"/>
      <c r="K285" s="16"/>
      <c r="L285" s="13"/>
      <c r="M285" s="15"/>
      <c r="N285" s="15"/>
      <c r="O285" s="15"/>
      <c r="P285" s="15"/>
      <c r="Q285" s="15"/>
      <c r="R285" s="15"/>
      <c r="S285" s="15"/>
      <c r="T285" s="15"/>
      <c r="U285" s="16"/>
    </row>
    <row r="286">
      <c r="A286" s="41">
        <v>1.0</v>
      </c>
      <c r="B286" s="86">
        <v>117.0</v>
      </c>
      <c r="C286" s="87" t="s">
        <v>789</v>
      </c>
      <c r="D286" s="88" t="s">
        <v>790</v>
      </c>
      <c r="E286" s="88" t="s">
        <v>32</v>
      </c>
      <c r="F286" s="89" t="s">
        <v>791</v>
      </c>
      <c r="G286" s="89">
        <v>2011.0</v>
      </c>
      <c r="H286" s="89">
        <v>1.0</v>
      </c>
      <c r="I286" s="89">
        <v>1.0</v>
      </c>
      <c r="J286" s="90">
        <v>1.0</v>
      </c>
      <c r="K286" s="91" t="s">
        <v>792</v>
      </c>
      <c r="L286" s="91" t="s">
        <v>793</v>
      </c>
      <c r="M286" s="90" t="s">
        <v>794</v>
      </c>
      <c r="N286" s="90" t="s">
        <v>169</v>
      </c>
      <c r="O286" s="92"/>
      <c r="P286" s="92"/>
      <c r="Q286" s="92"/>
      <c r="R286" s="92">
        <f>FDIST(4.47,1,64)</f>
        <v>0.03839643799</v>
      </c>
      <c r="S286" s="92">
        <f t="shared" ref="S286:S288" si="42">NORMINV(1-R286/2,0,1)</f>
        <v>2.07059737</v>
      </c>
      <c r="T286" s="92">
        <f t="shared" ref="T286:T288" si="43">NORMDIST(S286,1.96,1,TRUE)</f>
        <v>0.5440321834</v>
      </c>
      <c r="U286" s="93"/>
    </row>
    <row r="287">
      <c r="A287" s="41">
        <v>1.0</v>
      </c>
      <c r="B287" s="42">
        <v>117.0</v>
      </c>
      <c r="C287" s="43"/>
      <c r="D287" s="41"/>
      <c r="E287" s="94"/>
      <c r="F287" s="43"/>
      <c r="G287" s="43"/>
      <c r="H287" s="43">
        <v>2.0</v>
      </c>
      <c r="I287" s="43">
        <v>2.0</v>
      </c>
      <c r="J287" s="44">
        <v>1.0</v>
      </c>
      <c r="K287" s="45" t="s">
        <v>792</v>
      </c>
      <c r="L287" s="45" t="s">
        <v>795</v>
      </c>
      <c r="M287" s="44" t="s">
        <v>796</v>
      </c>
      <c r="N287" s="44" t="s">
        <v>169</v>
      </c>
      <c r="O287" s="47"/>
      <c r="P287" s="47"/>
      <c r="Q287" s="47"/>
      <c r="R287" s="47">
        <f>FDIST(5.73,1,50)</f>
        <v>0.02047075994</v>
      </c>
      <c r="S287" s="47">
        <f t="shared" si="42"/>
        <v>2.317605704</v>
      </c>
      <c r="T287" s="47">
        <f t="shared" si="43"/>
        <v>0.6396807954</v>
      </c>
      <c r="U287" s="192" t="s">
        <v>797</v>
      </c>
    </row>
    <row r="288">
      <c r="A288" s="41"/>
      <c r="B288" s="42">
        <v>117.0</v>
      </c>
      <c r="C288" s="43"/>
      <c r="D288" s="41"/>
      <c r="E288" s="94"/>
      <c r="F288" s="43"/>
      <c r="G288" s="43"/>
      <c r="H288" s="43">
        <v>2.0</v>
      </c>
      <c r="I288" s="43">
        <v>2.0</v>
      </c>
      <c r="J288" s="44">
        <v>2.0</v>
      </c>
      <c r="K288" s="45" t="s">
        <v>798</v>
      </c>
      <c r="L288" s="45" t="s">
        <v>799</v>
      </c>
      <c r="M288" s="44" t="s">
        <v>800</v>
      </c>
      <c r="N288" s="44" t="s">
        <v>801</v>
      </c>
      <c r="O288" s="47"/>
      <c r="P288" s="47"/>
      <c r="Q288" s="47"/>
      <c r="R288" s="47">
        <f>FDIST(5,1,50)</f>
        <v>0.02984023274</v>
      </c>
      <c r="S288" s="47">
        <f t="shared" si="42"/>
        <v>2.172204613</v>
      </c>
      <c r="T288" s="47">
        <f t="shared" si="43"/>
        <v>0.584026296</v>
      </c>
      <c r="U288" s="99" t="s">
        <v>797</v>
      </c>
    </row>
    <row r="289">
      <c r="A289" s="22"/>
      <c r="B289" s="74">
        <v>117.0</v>
      </c>
      <c r="C289" s="62"/>
      <c r="D289" s="22"/>
      <c r="E289" s="127"/>
      <c r="F289" s="62"/>
      <c r="G289" s="62"/>
      <c r="H289" s="62"/>
      <c r="I289" s="62">
        <v>2.0</v>
      </c>
      <c r="J289" s="63">
        <v>3.0</v>
      </c>
      <c r="K289" s="64" t="s">
        <v>802</v>
      </c>
      <c r="L289" s="65"/>
      <c r="M289" s="66"/>
      <c r="N289" s="66"/>
      <c r="O289" s="66"/>
      <c r="P289" s="66"/>
      <c r="Q289" s="66"/>
      <c r="R289" s="66"/>
      <c r="S289" s="66"/>
      <c r="T289" s="66"/>
      <c r="U289" s="67"/>
    </row>
    <row r="290">
      <c r="A290" s="41"/>
      <c r="B290" s="83">
        <v>117.0</v>
      </c>
      <c r="C290" s="75"/>
      <c r="D290" s="76"/>
      <c r="E290" s="95"/>
      <c r="F290" s="75"/>
      <c r="G290" s="75"/>
      <c r="H290" s="75">
        <v>1.0</v>
      </c>
      <c r="I290" s="75">
        <v>1.0</v>
      </c>
      <c r="J290" s="77">
        <v>4.0</v>
      </c>
      <c r="K290" s="78" t="s">
        <v>803</v>
      </c>
      <c r="L290" s="78" t="s">
        <v>804</v>
      </c>
      <c r="M290" s="77" t="s">
        <v>805</v>
      </c>
      <c r="N290" s="77" t="s">
        <v>806</v>
      </c>
      <c r="O290" s="80"/>
      <c r="P290" s="80"/>
      <c r="Q290" s="80"/>
      <c r="R290" s="80">
        <f>FDIST(10.19,1,50)</f>
        <v>0.002442305763</v>
      </c>
      <c r="S290" s="80">
        <f>NORMINV(1-R290/2,0,1)</f>
        <v>3.030399346</v>
      </c>
      <c r="T290" s="80">
        <f>NORMDIST(S290,1.96,1,TRUE)</f>
        <v>0.8577802033</v>
      </c>
      <c r="U290" s="193" t="s">
        <v>807</v>
      </c>
    </row>
    <row r="291">
      <c r="A291" s="7"/>
      <c r="B291" s="8">
        <v>118.0</v>
      </c>
      <c r="C291" s="14" t="s">
        <v>808</v>
      </c>
      <c r="D291" s="7" t="s">
        <v>444</v>
      </c>
      <c r="E291" s="11"/>
      <c r="F291" s="8" t="s">
        <v>809</v>
      </c>
      <c r="G291" s="8">
        <v>2003.0</v>
      </c>
      <c r="H291" s="8"/>
      <c r="I291" s="8"/>
      <c r="J291" s="84"/>
      <c r="K291" s="16"/>
      <c r="L291" s="13"/>
      <c r="M291" s="15"/>
      <c r="N291" s="15"/>
      <c r="O291" s="15"/>
      <c r="P291" s="15"/>
      <c r="Q291" s="15"/>
      <c r="R291" s="15"/>
      <c r="S291" s="15"/>
      <c r="T291" s="15"/>
      <c r="U291" s="16"/>
    </row>
    <row r="292">
      <c r="A292" s="7"/>
      <c r="B292" s="8">
        <v>119.0</v>
      </c>
      <c r="C292" s="14" t="s">
        <v>810</v>
      </c>
      <c r="D292" s="7" t="s">
        <v>22</v>
      </c>
      <c r="E292" s="11"/>
      <c r="F292" s="8" t="s">
        <v>811</v>
      </c>
      <c r="G292" s="8">
        <v>2003.0</v>
      </c>
      <c r="H292" s="8"/>
      <c r="I292" s="8"/>
      <c r="J292" s="84"/>
      <c r="K292" s="16"/>
      <c r="L292" s="13"/>
      <c r="M292" s="15"/>
      <c r="N292" s="15"/>
      <c r="O292" s="15"/>
      <c r="P292" s="15"/>
      <c r="Q292" s="15"/>
      <c r="R292" s="15"/>
      <c r="S292" s="15"/>
      <c r="T292" s="15"/>
      <c r="U292" s="16"/>
    </row>
    <row r="293">
      <c r="A293" s="7"/>
      <c r="B293" s="8">
        <v>120.0</v>
      </c>
      <c r="C293" s="14" t="s">
        <v>812</v>
      </c>
      <c r="D293" s="7" t="s">
        <v>760</v>
      </c>
      <c r="E293" s="11"/>
      <c r="F293" s="194" t="s">
        <v>813</v>
      </c>
      <c r="G293" s="8">
        <v>2012.0</v>
      </c>
      <c r="H293" s="8"/>
      <c r="I293" s="8"/>
      <c r="J293" s="84"/>
      <c r="K293" s="16"/>
      <c r="L293" s="13"/>
      <c r="M293" s="15"/>
      <c r="N293" s="15"/>
      <c r="O293" s="15"/>
      <c r="P293" s="15"/>
      <c r="Q293" s="15"/>
      <c r="R293" s="15"/>
      <c r="S293" s="15"/>
      <c r="T293" s="15"/>
      <c r="U293" s="16"/>
    </row>
    <row r="294">
      <c r="A294" s="7"/>
      <c r="B294" s="8">
        <v>121.0</v>
      </c>
      <c r="C294" s="14" t="s">
        <v>814</v>
      </c>
      <c r="D294" s="7" t="s">
        <v>815</v>
      </c>
      <c r="E294" s="11"/>
      <c r="F294" s="8" t="s">
        <v>816</v>
      </c>
      <c r="G294" s="8">
        <v>2006.0</v>
      </c>
      <c r="H294" s="8"/>
      <c r="I294" s="8"/>
      <c r="J294" s="84"/>
      <c r="K294" s="16"/>
      <c r="L294" s="13"/>
      <c r="M294" s="15"/>
      <c r="N294" s="15"/>
      <c r="O294" s="15"/>
      <c r="P294" s="15"/>
      <c r="Q294" s="15"/>
      <c r="R294" s="15"/>
      <c r="S294" s="15"/>
      <c r="T294" s="15"/>
      <c r="U294" s="16"/>
    </row>
    <row r="295">
      <c r="A295" s="195">
        <v>1.0</v>
      </c>
      <c r="B295" s="196">
        <v>122.0</v>
      </c>
      <c r="C295" s="87" t="s">
        <v>817</v>
      </c>
      <c r="D295" s="88" t="s">
        <v>48</v>
      </c>
      <c r="E295" s="88" t="s">
        <v>32</v>
      </c>
      <c r="F295" s="89" t="s">
        <v>818</v>
      </c>
      <c r="G295" s="89">
        <v>2000.0</v>
      </c>
      <c r="H295" s="89">
        <v>1.0</v>
      </c>
      <c r="I295" s="89">
        <v>1.0</v>
      </c>
      <c r="J295" s="90" t="s">
        <v>199</v>
      </c>
      <c r="K295" s="91" t="s">
        <v>819</v>
      </c>
      <c r="L295" s="91" t="s">
        <v>820</v>
      </c>
      <c r="M295" s="90" t="s">
        <v>821</v>
      </c>
      <c r="N295" s="197" t="s">
        <v>119</v>
      </c>
      <c r="O295" s="92"/>
      <c r="P295" s="92"/>
      <c r="Q295" s="92"/>
      <c r="R295" s="92">
        <f>FDIST(23.48,2,117)</f>
        <v>0.0000000026711926</v>
      </c>
      <c r="S295" s="92">
        <f t="shared" ref="S295:S297" si="44">NORMINV(1-R295/2,0,1)</f>
        <v>5.950625744</v>
      </c>
      <c r="T295" s="92">
        <f t="shared" ref="T295:T297" si="45">NORMDIST(S295,1.96,1,TRUE)</f>
        <v>0.9999670504</v>
      </c>
      <c r="U295" s="93"/>
    </row>
    <row r="296">
      <c r="A296" s="195"/>
      <c r="B296" s="198">
        <v>122.0</v>
      </c>
      <c r="C296" s="43"/>
      <c r="D296" s="41"/>
      <c r="E296" s="41"/>
      <c r="F296" s="43"/>
      <c r="G296" s="43"/>
      <c r="H296" s="43">
        <v>1.0</v>
      </c>
      <c r="I296" s="43">
        <v>1.0</v>
      </c>
      <c r="J296" s="44" t="s">
        <v>206</v>
      </c>
      <c r="K296" s="45"/>
      <c r="L296" s="45" t="s">
        <v>822</v>
      </c>
      <c r="M296" s="44" t="s">
        <v>823</v>
      </c>
      <c r="N296" s="44" t="s">
        <v>806</v>
      </c>
      <c r="O296" s="47"/>
      <c r="P296" s="47"/>
      <c r="Q296" s="47"/>
      <c r="R296" s="47">
        <f>FDIST(34.32,2,115)</f>
        <v>0</v>
      </c>
      <c r="S296" s="47">
        <f t="shared" si="44"/>
        <v>7.030954892</v>
      </c>
      <c r="T296" s="47">
        <f t="shared" si="45"/>
        <v>0.9999998021</v>
      </c>
      <c r="U296" s="50"/>
    </row>
    <row r="297">
      <c r="A297" s="195"/>
      <c r="B297" s="198">
        <v>122.0</v>
      </c>
      <c r="C297" s="43"/>
      <c r="D297" s="41"/>
      <c r="E297" s="41"/>
      <c r="F297" s="43"/>
      <c r="G297" s="43"/>
      <c r="H297" s="43">
        <v>1.0</v>
      </c>
      <c r="I297" s="43">
        <v>1.0</v>
      </c>
      <c r="J297" s="44" t="s">
        <v>642</v>
      </c>
      <c r="K297" s="45" t="s">
        <v>824</v>
      </c>
      <c r="L297" s="45" t="s">
        <v>825</v>
      </c>
      <c r="M297" s="44" t="s">
        <v>826</v>
      </c>
      <c r="N297" s="44" t="s">
        <v>827</v>
      </c>
      <c r="O297" s="47"/>
      <c r="P297" s="47"/>
      <c r="Q297" s="47"/>
      <c r="R297" s="47">
        <f>FDIST(263.09,1,117)</f>
        <v>0</v>
      </c>
      <c r="S297" s="47" t="str">
        <f t="shared" si="44"/>
        <v>#NUM!</v>
      </c>
      <c r="T297" s="47" t="str">
        <f t="shared" si="45"/>
        <v>#NUM!</v>
      </c>
      <c r="U297" s="50"/>
    </row>
    <row r="298">
      <c r="A298" s="22"/>
      <c r="B298" s="74">
        <v>122.0</v>
      </c>
      <c r="C298" s="62"/>
      <c r="D298" s="22"/>
      <c r="E298" s="22"/>
      <c r="F298" s="62"/>
      <c r="G298" s="62"/>
      <c r="H298" s="62"/>
      <c r="I298" s="62">
        <v>1.0</v>
      </c>
      <c r="J298" s="63" t="s">
        <v>644</v>
      </c>
      <c r="K298" s="64"/>
      <c r="L298" s="64" t="s">
        <v>828</v>
      </c>
      <c r="M298" s="66"/>
      <c r="N298" s="66"/>
      <c r="O298" s="66"/>
      <c r="P298" s="66"/>
      <c r="Q298" s="66"/>
      <c r="R298" s="66"/>
      <c r="S298" s="66"/>
      <c r="T298" s="66"/>
      <c r="U298" s="67"/>
    </row>
    <row r="299">
      <c r="A299" s="41"/>
      <c r="B299" s="42">
        <v>122.0</v>
      </c>
      <c r="C299" s="43"/>
      <c r="D299" s="41"/>
      <c r="E299" s="41"/>
      <c r="F299" s="43"/>
      <c r="G299" s="43"/>
      <c r="H299" s="43">
        <v>1.0</v>
      </c>
      <c r="I299" s="43">
        <v>1.0</v>
      </c>
      <c r="J299" s="44" t="s">
        <v>53</v>
      </c>
      <c r="K299" s="45"/>
      <c r="L299" s="45" t="s">
        <v>829</v>
      </c>
      <c r="M299" s="199" t="s">
        <v>830</v>
      </c>
      <c r="N299" s="44" t="s">
        <v>119</v>
      </c>
      <c r="O299" s="47"/>
      <c r="P299" s="47"/>
      <c r="Q299" s="47"/>
      <c r="R299" s="47">
        <f>FDIST(46.53,1,155)</f>
        <v>0.0000000001905373637</v>
      </c>
      <c r="S299" s="47">
        <f>NORMINV(1-R299/2,0,1)</f>
        <v>6.36878025</v>
      </c>
      <c r="T299" s="47">
        <f>NORMDIST(S299,1.96,1,TRUE)</f>
        <v>0.9999948023</v>
      </c>
      <c r="U299" s="50"/>
    </row>
    <row r="300">
      <c r="A300" s="22"/>
      <c r="B300" s="74">
        <v>122.0</v>
      </c>
      <c r="C300" s="62"/>
      <c r="D300" s="22"/>
      <c r="E300" s="22"/>
      <c r="F300" s="62"/>
      <c r="G300" s="62"/>
      <c r="H300" s="62"/>
      <c r="I300" s="62">
        <v>1.0</v>
      </c>
      <c r="J300" s="63" t="s">
        <v>65</v>
      </c>
      <c r="K300" s="64"/>
      <c r="L300" s="64" t="s">
        <v>831</v>
      </c>
      <c r="M300" s="66"/>
      <c r="N300" s="66"/>
      <c r="O300" s="66"/>
      <c r="P300" s="66"/>
      <c r="Q300" s="66"/>
      <c r="R300" s="66"/>
      <c r="S300" s="66"/>
      <c r="T300" s="66"/>
      <c r="U300" s="67"/>
    </row>
    <row r="301">
      <c r="A301" s="22"/>
      <c r="B301" s="74">
        <v>122.0</v>
      </c>
      <c r="C301" s="62"/>
      <c r="D301" s="22"/>
      <c r="E301" s="22"/>
      <c r="F301" s="62"/>
      <c r="G301" s="62"/>
      <c r="H301" s="62"/>
      <c r="I301" s="62">
        <v>1.0</v>
      </c>
      <c r="J301" s="63" t="s">
        <v>130</v>
      </c>
      <c r="K301" s="64" t="s">
        <v>832</v>
      </c>
      <c r="L301" s="64" t="s">
        <v>833</v>
      </c>
      <c r="M301" s="66"/>
      <c r="N301" s="66"/>
      <c r="O301" s="66"/>
      <c r="P301" s="66"/>
      <c r="Q301" s="66"/>
      <c r="R301" s="66"/>
      <c r="S301" s="66"/>
      <c r="T301" s="66"/>
      <c r="U301" s="67"/>
    </row>
    <row r="302">
      <c r="A302" s="22"/>
      <c r="B302" s="74">
        <v>122.0</v>
      </c>
      <c r="C302" s="62"/>
      <c r="D302" s="22"/>
      <c r="E302" s="22"/>
      <c r="F302" s="62"/>
      <c r="G302" s="62"/>
      <c r="H302" s="62"/>
      <c r="I302" s="62">
        <v>1.0</v>
      </c>
      <c r="J302" s="63" t="s">
        <v>134</v>
      </c>
      <c r="K302" s="64"/>
      <c r="L302" s="64" t="s">
        <v>834</v>
      </c>
      <c r="M302" s="66"/>
      <c r="N302" s="66"/>
      <c r="O302" s="66"/>
      <c r="P302" s="66"/>
      <c r="Q302" s="66"/>
      <c r="R302" s="66"/>
      <c r="S302" s="66"/>
      <c r="T302" s="66"/>
      <c r="U302" s="67"/>
    </row>
    <row r="303">
      <c r="A303" s="41"/>
      <c r="B303" s="42">
        <v>122.0</v>
      </c>
      <c r="C303" s="43"/>
      <c r="D303" s="41"/>
      <c r="E303" s="41"/>
      <c r="F303" s="43"/>
      <c r="G303" s="43"/>
      <c r="H303" s="43">
        <v>1.0</v>
      </c>
      <c r="I303" s="43">
        <v>1.0</v>
      </c>
      <c r="J303" s="44" t="s">
        <v>835</v>
      </c>
      <c r="K303" s="45"/>
      <c r="L303" s="45" t="s">
        <v>836</v>
      </c>
      <c r="M303" s="44" t="s">
        <v>837</v>
      </c>
      <c r="N303" s="44" t="s">
        <v>119</v>
      </c>
      <c r="O303" s="47"/>
      <c r="P303" s="47"/>
      <c r="Q303" s="47"/>
      <c r="R303" s="47">
        <f>FDIST(8.36,1,154)</f>
        <v>0.004390761426</v>
      </c>
      <c r="S303" s="47">
        <f>NORMINV(1-R303/2,0,1)</f>
        <v>2.848632151</v>
      </c>
      <c r="T303" s="47">
        <f>NORMDIST(S303,1.96,1,TRUE)</f>
        <v>0.812899597</v>
      </c>
      <c r="U303" s="50"/>
    </row>
    <row r="304">
      <c r="A304" s="22"/>
      <c r="B304" s="74">
        <v>122.0</v>
      </c>
      <c r="C304" s="62"/>
      <c r="D304" s="22"/>
      <c r="E304" s="22"/>
      <c r="F304" s="62"/>
      <c r="G304" s="62"/>
      <c r="H304" s="62"/>
      <c r="I304" s="62">
        <v>1.0</v>
      </c>
      <c r="J304" s="63" t="s">
        <v>838</v>
      </c>
      <c r="K304" s="64"/>
      <c r="L304" s="64" t="s">
        <v>839</v>
      </c>
      <c r="M304" s="66"/>
      <c r="N304" s="66"/>
      <c r="O304" s="66"/>
      <c r="P304" s="66"/>
      <c r="Q304" s="66"/>
      <c r="R304" s="66"/>
      <c r="S304" s="66"/>
      <c r="T304" s="66"/>
      <c r="U304" s="67"/>
    </row>
    <row r="305">
      <c r="A305" s="41"/>
      <c r="B305" s="42">
        <v>122.0</v>
      </c>
      <c r="C305" s="43"/>
      <c r="D305" s="41"/>
      <c r="E305" s="41"/>
      <c r="F305" s="43"/>
      <c r="G305" s="43"/>
      <c r="H305" s="43">
        <v>1.0</v>
      </c>
      <c r="I305" s="43">
        <v>1.0</v>
      </c>
      <c r="J305" s="44" t="s">
        <v>654</v>
      </c>
      <c r="K305" s="45" t="s">
        <v>840</v>
      </c>
      <c r="L305" s="45" t="s">
        <v>841</v>
      </c>
      <c r="M305" s="44" t="s">
        <v>842</v>
      </c>
      <c r="N305" s="44" t="s">
        <v>119</v>
      </c>
      <c r="O305" s="47"/>
      <c r="P305" s="47"/>
      <c r="Q305" s="47"/>
      <c r="R305" s="47">
        <f>FDIST(43.25,1,115)</f>
        <v>0.000000001481889389</v>
      </c>
      <c r="S305" s="47">
        <f>NORMINV(1-R305/2,0,1)</f>
        <v>6.046322932</v>
      </c>
      <c r="T305" s="47">
        <f>NORMDIST(S305,1.96,1,TRUE)</f>
        <v>0.9999780868</v>
      </c>
      <c r="U305" s="50"/>
    </row>
    <row r="306">
      <c r="A306" s="22"/>
      <c r="B306" s="74">
        <v>122.0</v>
      </c>
      <c r="C306" s="62"/>
      <c r="D306" s="22"/>
      <c r="E306" s="22"/>
      <c r="F306" s="62"/>
      <c r="G306" s="62"/>
      <c r="H306" s="62"/>
      <c r="I306" s="62">
        <v>1.0</v>
      </c>
      <c r="J306" s="63" t="s">
        <v>658</v>
      </c>
      <c r="K306" s="64"/>
      <c r="L306" s="64" t="s">
        <v>843</v>
      </c>
      <c r="M306" s="66"/>
      <c r="N306" s="66"/>
      <c r="O306" s="66"/>
      <c r="P306" s="66"/>
      <c r="Q306" s="66"/>
      <c r="R306" s="66"/>
      <c r="S306" s="66"/>
      <c r="T306" s="66"/>
      <c r="U306" s="67"/>
    </row>
    <row r="307">
      <c r="A307" s="41"/>
      <c r="B307" s="42">
        <v>122.0</v>
      </c>
      <c r="C307" s="43"/>
      <c r="D307" s="41"/>
      <c r="E307" s="41"/>
      <c r="F307" s="43"/>
      <c r="G307" s="43"/>
      <c r="H307" s="43">
        <v>1.0</v>
      </c>
      <c r="I307" s="43">
        <v>1.0</v>
      </c>
      <c r="J307" s="44" t="s">
        <v>475</v>
      </c>
      <c r="K307" s="45"/>
      <c r="L307" s="45" t="s">
        <v>844</v>
      </c>
      <c r="M307" s="44" t="s">
        <v>845</v>
      </c>
      <c r="N307" s="44" t="s">
        <v>846</v>
      </c>
      <c r="O307" s="47"/>
      <c r="P307" s="47"/>
      <c r="Q307" s="47"/>
      <c r="R307" s="47">
        <f>FDIST(8.01,1,153)</f>
        <v>0.005276920742</v>
      </c>
      <c r="S307" s="47">
        <f>NORMINV(1-R307/2,0,1)</f>
        <v>2.789624478</v>
      </c>
      <c r="T307" s="47">
        <f>NORMDIST(S307,1.96,1,TRUE)</f>
        <v>0.7966244337</v>
      </c>
      <c r="U307" s="50"/>
    </row>
    <row r="308">
      <c r="A308" s="22"/>
      <c r="B308" s="74">
        <v>122.0</v>
      </c>
      <c r="C308" s="62"/>
      <c r="D308" s="22"/>
      <c r="E308" s="22"/>
      <c r="F308" s="62"/>
      <c r="G308" s="62"/>
      <c r="H308" s="62"/>
      <c r="I308" s="62">
        <v>1.0</v>
      </c>
      <c r="J308" s="63" t="s">
        <v>480</v>
      </c>
      <c r="K308" s="64"/>
      <c r="L308" s="64" t="s">
        <v>847</v>
      </c>
      <c r="M308" s="66"/>
      <c r="N308" s="66"/>
      <c r="O308" s="66"/>
      <c r="P308" s="66"/>
      <c r="Q308" s="66"/>
      <c r="R308" s="66"/>
      <c r="S308" s="66"/>
      <c r="T308" s="66"/>
      <c r="U308" s="67"/>
    </row>
    <row r="309">
      <c r="A309" s="41"/>
      <c r="B309" s="42">
        <v>122.0</v>
      </c>
      <c r="C309" s="43"/>
      <c r="D309" s="41"/>
      <c r="E309" s="41"/>
      <c r="F309" s="43"/>
      <c r="G309" s="43"/>
      <c r="H309" s="43">
        <v>1.0</v>
      </c>
      <c r="I309" s="43">
        <v>1.0</v>
      </c>
      <c r="J309" s="44" t="s">
        <v>483</v>
      </c>
      <c r="K309" s="45" t="s">
        <v>848</v>
      </c>
      <c r="L309" s="45" t="s">
        <v>849</v>
      </c>
      <c r="M309" s="123" t="s">
        <v>850</v>
      </c>
      <c r="N309" s="44" t="s">
        <v>119</v>
      </c>
      <c r="O309" s="47"/>
      <c r="P309" s="44" t="s">
        <v>851</v>
      </c>
      <c r="Q309" s="47"/>
      <c r="R309" s="47">
        <f>FDIST(11.75,1,72)</f>
        <v>0.001009601325</v>
      </c>
      <c r="S309" s="47">
        <f>NORMINV(1-R309/2,0,1)</f>
        <v>3.287837394</v>
      </c>
      <c r="T309" s="47">
        <f>NORMDIST(S309,1.96,1,TRUE)</f>
        <v>0.9078840847</v>
      </c>
      <c r="U309" s="50"/>
    </row>
    <row r="310">
      <c r="A310" s="22"/>
      <c r="B310" s="74">
        <v>122.0</v>
      </c>
      <c r="C310" s="62"/>
      <c r="D310" s="22"/>
      <c r="E310" s="22"/>
      <c r="F310" s="62"/>
      <c r="G310" s="62"/>
      <c r="H310" s="62"/>
      <c r="I310" s="62">
        <v>1.0</v>
      </c>
      <c r="J310" s="63" t="s">
        <v>488</v>
      </c>
      <c r="K310" s="64" t="s">
        <v>852</v>
      </c>
      <c r="L310" s="64" t="s">
        <v>853</v>
      </c>
      <c r="M310" s="66"/>
      <c r="N310" s="66"/>
      <c r="O310" s="66"/>
      <c r="P310" s="66"/>
      <c r="Q310" s="66"/>
      <c r="R310" s="66"/>
      <c r="S310" s="66"/>
      <c r="T310" s="66"/>
      <c r="U310" s="67"/>
    </row>
    <row r="311">
      <c r="A311" s="41"/>
      <c r="B311" s="42">
        <v>122.0</v>
      </c>
      <c r="C311" s="43"/>
      <c r="D311" s="41"/>
      <c r="E311" s="41"/>
      <c r="F311" s="43"/>
      <c r="G311" s="43"/>
      <c r="H311" s="43">
        <v>1.0</v>
      </c>
      <c r="I311" s="43">
        <v>1.0</v>
      </c>
      <c r="J311" s="44" t="s">
        <v>491</v>
      </c>
      <c r="K311" s="45" t="s">
        <v>854</v>
      </c>
      <c r="L311" s="45" t="s">
        <v>855</v>
      </c>
      <c r="M311" s="44" t="s">
        <v>856</v>
      </c>
      <c r="N311" s="44" t="s">
        <v>119</v>
      </c>
      <c r="O311" s="47"/>
      <c r="P311" s="44" t="s">
        <v>857</v>
      </c>
      <c r="Q311" s="47"/>
      <c r="R311" s="47">
        <f>FDIST(24.42,1,74)</f>
        <v>0.000004678676361</v>
      </c>
      <c r="S311" s="47">
        <f>NORMINV(1-R311/2,0,1)</f>
        <v>4.57870315</v>
      </c>
      <c r="T311" s="47">
        <f>NORMDIST(S311,1.96,1,TRUE)</f>
        <v>0.9955867641</v>
      </c>
      <c r="U311" s="50" t="s">
        <v>858</v>
      </c>
    </row>
    <row r="312">
      <c r="A312" s="22"/>
      <c r="B312" s="74">
        <v>122.0</v>
      </c>
      <c r="C312" s="62"/>
      <c r="D312" s="22"/>
      <c r="E312" s="22"/>
      <c r="F312" s="62"/>
      <c r="G312" s="62"/>
      <c r="H312" s="62"/>
      <c r="I312" s="62">
        <v>1.0</v>
      </c>
      <c r="J312" s="63" t="s">
        <v>496</v>
      </c>
      <c r="K312" s="64" t="s">
        <v>852</v>
      </c>
      <c r="L312" s="64" t="s">
        <v>859</v>
      </c>
      <c r="M312" s="66"/>
      <c r="N312" s="66"/>
      <c r="O312" s="66"/>
      <c r="P312" s="66"/>
      <c r="Q312" s="66"/>
      <c r="R312" s="66"/>
      <c r="S312" s="66"/>
      <c r="T312" s="66"/>
      <c r="U312" s="67"/>
    </row>
    <row r="313">
      <c r="A313" s="41"/>
      <c r="B313" s="42">
        <v>122.0</v>
      </c>
      <c r="C313" s="43"/>
      <c r="D313" s="41"/>
      <c r="E313" s="41"/>
      <c r="F313" s="43"/>
      <c r="G313" s="43"/>
      <c r="H313" s="43">
        <v>1.0</v>
      </c>
      <c r="I313" s="43">
        <v>1.0</v>
      </c>
      <c r="J313" s="44" t="s">
        <v>499</v>
      </c>
      <c r="K313" s="45" t="s">
        <v>860</v>
      </c>
      <c r="L313" s="45" t="s">
        <v>861</v>
      </c>
      <c r="M313" s="44" t="s">
        <v>862</v>
      </c>
      <c r="N313" s="44" t="s">
        <v>119</v>
      </c>
      <c r="O313" s="47"/>
      <c r="P313" s="44" t="s">
        <v>863</v>
      </c>
      <c r="Q313" s="47"/>
      <c r="R313" s="47">
        <f>FDIST(7.25,1,72)</f>
        <v>0.008812910489</v>
      </c>
      <c r="S313" s="47">
        <f>NORMINV(1-R313/2,0,1)</f>
        <v>2.619227685</v>
      </c>
      <c r="T313" s="47">
        <f>NORMDIST(S313,1.96,1,TRUE)</f>
        <v>0.7451252143</v>
      </c>
      <c r="U313" s="50"/>
    </row>
    <row r="314">
      <c r="A314" s="22"/>
      <c r="B314" s="74">
        <v>122.0</v>
      </c>
      <c r="C314" s="62"/>
      <c r="D314" s="22"/>
      <c r="E314" s="22"/>
      <c r="F314" s="62"/>
      <c r="G314" s="62"/>
      <c r="H314" s="62"/>
      <c r="I314" s="62">
        <v>1.0</v>
      </c>
      <c r="J314" s="63" t="s">
        <v>504</v>
      </c>
      <c r="K314" s="64"/>
      <c r="L314" s="64" t="s">
        <v>853</v>
      </c>
      <c r="M314" s="66"/>
      <c r="N314" s="66"/>
      <c r="O314" s="66"/>
      <c r="P314" s="66"/>
      <c r="Q314" s="66"/>
      <c r="R314" s="66"/>
      <c r="S314" s="66"/>
      <c r="T314" s="66"/>
      <c r="U314" s="67"/>
    </row>
    <row r="315">
      <c r="A315" s="41"/>
      <c r="B315" s="42">
        <v>122.0</v>
      </c>
      <c r="C315" s="43"/>
      <c r="D315" s="41"/>
      <c r="E315" s="41"/>
      <c r="F315" s="43"/>
      <c r="G315" s="43"/>
      <c r="H315" s="43">
        <v>1.0</v>
      </c>
      <c r="I315" s="43">
        <v>1.0</v>
      </c>
      <c r="J315" s="44" t="s">
        <v>509</v>
      </c>
      <c r="K315" s="45"/>
      <c r="L315" s="45" t="s">
        <v>864</v>
      </c>
      <c r="M315" s="44" t="s">
        <v>865</v>
      </c>
      <c r="N315" s="44" t="s">
        <v>806</v>
      </c>
      <c r="O315" s="47"/>
      <c r="P315" s="44" t="s">
        <v>866</v>
      </c>
      <c r="Q315" s="47"/>
      <c r="R315" s="47">
        <f>FDIST(16.74,1,74)</f>
        <v>0.000108015566</v>
      </c>
      <c r="S315" s="47">
        <f>NORMINV(1-R315/2,0,1)</f>
        <v>3.871842897</v>
      </c>
      <c r="T315" s="47">
        <f>NORMDIST(S315,1.96,1,TRUE)</f>
        <v>0.9720518261</v>
      </c>
      <c r="U315" s="50"/>
    </row>
    <row r="316">
      <c r="A316" s="22"/>
      <c r="B316" s="104">
        <v>122.0</v>
      </c>
      <c r="C316" s="105"/>
      <c r="D316" s="106"/>
      <c r="E316" s="106"/>
      <c r="F316" s="105"/>
      <c r="G316" s="105"/>
      <c r="H316" s="105"/>
      <c r="I316" s="105">
        <v>1.0</v>
      </c>
      <c r="J316" s="107" t="s">
        <v>511</v>
      </c>
      <c r="K316" s="108"/>
      <c r="L316" s="108" t="s">
        <v>867</v>
      </c>
      <c r="M316" s="110"/>
      <c r="N316" s="110"/>
      <c r="O316" s="110"/>
      <c r="P316" s="110"/>
      <c r="Q316" s="110"/>
      <c r="R316" s="110"/>
      <c r="S316" s="110"/>
      <c r="T316" s="110"/>
      <c r="U316" s="111"/>
    </row>
    <row r="317">
      <c r="A317" s="7"/>
      <c r="B317" s="8">
        <v>123.0</v>
      </c>
      <c r="C317" s="14" t="s">
        <v>868</v>
      </c>
      <c r="D317" s="7" t="s">
        <v>444</v>
      </c>
      <c r="E317" s="11"/>
      <c r="F317" s="8" t="s">
        <v>869</v>
      </c>
      <c r="G317" s="8">
        <v>2004.0</v>
      </c>
      <c r="H317" s="8"/>
      <c r="I317" s="8"/>
      <c r="J317" s="84"/>
      <c r="K317" s="16"/>
      <c r="L317" s="13"/>
      <c r="M317" s="15"/>
      <c r="N317" s="15"/>
      <c r="O317" s="15"/>
      <c r="P317" s="15"/>
      <c r="Q317" s="15"/>
      <c r="R317" s="15"/>
      <c r="S317" s="15"/>
      <c r="T317" s="15"/>
      <c r="U317" s="16"/>
    </row>
    <row r="318">
      <c r="A318" s="7"/>
      <c r="B318" s="8">
        <v>124.0</v>
      </c>
      <c r="C318" s="14" t="s">
        <v>870</v>
      </c>
      <c r="D318" s="7" t="s">
        <v>760</v>
      </c>
      <c r="E318" s="11"/>
      <c r="F318" s="8" t="s">
        <v>871</v>
      </c>
      <c r="G318" s="8">
        <v>2008.0</v>
      </c>
      <c r="H318" s="8"/>
      <c r="I318" s="8"/>
      <c r="J318" s="84"/>
      <c r="K318" s="16"/>
      <c r="L318" s="13"/>
      <c r="M318" s="15"/>
      <c r="N318" s="15"/>
      <c r="O318" s="15"/>
      <c r="P318" s="15"/>
      <c r="Q318" s="15"/>
      <c r="R318" s="15"/>
      <c r="S318" s="15"/>
      <c r="T318" s="15"/>
      <c r="U318" s="16"/>
    </row>
    <row r="319">
      <c r="A319" s="48"/>
      <c r="B319" s="145">
        <v>125.0</v>
      </c>
      <c r="C319" s="146" t="s">
        <v>872</v>
      </c>
      <c r="D319" s="147" t="s">
        <v>48</v>
      </c>
      <c r="E319" s="147" t="s">
        <v>32</v>
      </c>
      <c r="F319" s="148" t="s">
        <v>873</v>
      </c>
      <c r="G319" s="148">
        <v>2002.0</v>
      </c>
      <c r="H319" s="148"/>
      <c r="I319" s="148">
        <v>1.0</v>
      </c>
      <c r="J319" s="149" t="s">
        <v>199</v>
      </c>
      <c r="K319" s="150" t="s">
        <v>874</v>
      </c>
      <c r="L319" s="150" t="s">
        <v>875</v>
      </c>
      <c r="M319" s="151"/>
      <c r="N319" s="151"/>
      <c r="O319" s="151"/>
      <c r="P319" s="151"/>
      <c r="Q319" s="151"/>
      <c r="R319" s="151"/>
      <c r="S319" s="151"/>
      <c r="T319" s="151"/>
      <c r="U319" s="200" t="s">
        <v>876</v>
      </c>
    </row>
    <row r="320">
      <c r="A320" s="48"/>
      <c r="B320" s="97">
        <v>125.0</v>
      </c>
      <c r="C320" s="49"/>
      <c r="D320" s="48"/>
      <c r="E320" s="48"/>
      <c r="F320" s="49"/>
      <c r="G320" s="49"/>
      <c r="H320" s="49"/>
      <c r="I320" s="49">
        <v>1.0</v>
      </c>
      <c r="J320" s="98" t="s">
        <v>206</v>
      </c>
      <c r="K320" s="53" t="s">
        <v>877</v>
      </c>
      <c r="L320" s="54"/>
      <c r="M320" s="55"/>
      <c r="N320" s="55"/>
      <c r="O320" s="55"/>
      <c r="P320" s="55"/>
      <c r="Q320" s="55"/>
      <c r="R320" s="55"/>
      <c r="S320" s="55"/>
      <c r="T320" s="55"/>
      <c r="U320" s="99"/>
    </row>
    <row r="321">
      <c r="A321" s="68">
        <v>1.0</v>
      </c>
      <c r="B321" s="69">
        <v>125.0</v>
      </c>
      <c r="C321" s="70"/>
      <c r="D321" s="68"/>
      <c r="E321" s="68"/>
      <c r="F321" s="70"/>
      <c r="G321" s="70"/>
      <c r="H321" s="70">
        <v>1.0</v>
      </c>
      <c r="I321" s="70">
        <v>1.0</v>
      </c>
      <c r="J321" s="71" t="s">
        <v>642</v>
      </c>
      <c r="K321" s="61" t="s">
        <v>878</v>
      </c>
      <c r="L321" s="61" t="s">
        <v>879</v>
      </c>
      <c r="M321" s="201" t="s">
        <v>880</v>
      </c>
      <c r="N321" s="71" t="s">
        <v>128</v>
      </c>
      <c r="O321" s="72"/>
      <c r="P321" s="71" t="s">
        <v>881</v>
      </c>
      <c r="Q321" s="72"/>
      <c r="R321" s="72"/>
      <c r="S321" s="72"/>
      <c r="T321" s="72"/>
      <c r="U321" s="73"/>
    </row>
    <row r="322">
      <c r="A322" s="48"/>
      <c r="B322" s="153">
        <v>125.0</v>
      </c>
      <c r="C322" s="154"/>
      <c r="D322" s="155"/>
      <c r="E322" s="155"/>
      <c r="F322" s="154"/>
      <c r="G322" s="154"/>
      <c r="H322" s="154"/>
      <c r="I322" s="154">
        <v>1.0</v>
      </c>
      <c r="J322" s="156" t="s">
        <v>644</v>
      </c>
      <c r="K322" s="157" t="s">
        <v>882</v>
      </c>
      <c r="L322" s="157" t="s">
        <v>883</v>
      </c>
      <c r="M322" s="159"/>
      <c r="N322" s="159"/>
      <c r="O322" s="159"/>
      <c r="P322" s="159"/>
      <c r="Q322" s="159"/>
      <c r="R322" s="159"/>
      <c r="S322" s="159"/>
      <c r="T322" s="159"/>
      <c r="U322" s="126"/>
    </row>
    <row r="323">
      <c r="A323" s="7"/>
      <c r="B323" s="8">
        <v>126.0</v>
      </c>
      <c r="C323" s="14" t="s">
        <v>884</v>
      </c>
      <c r="D323" s="11"/>
      <c r="E323" s="7" t="s">
        <v>638</v>
      </c>
      <c r="F323" s="12"/>
      <c r="G323" s="12"/>
      <c r="H323" s="8"/>
      <c r="I323" s="8"/>
      <c r="J323" s="84"/>
      <c r="K323" s="16"/>
      <c r="L323" s="13"/>
      <c r="M323" s="15"/>
      <c r="N323" s="15"/>
      <c r="O323" s="15"/>
      <c r="P323" s="15"/>
      <c r="Q323" s="15"/>
      <c r="R323" s="15"/>
      <c r="S323" s="15"/>
      <c r="T323" s="15"/>
      <c r="U323" s="16"/>
    </row>
    <row r="324">
      <c r="A324" s="7"/>
      <c r="B324" s="8">
        <v>127.0</v>
      </c>
      <c r="C324" s="14" t="s">
        <v>885</v>
      </c>
      <c r="D324" s="11"/>
      <c r="E324" s="7" t="s">
        <v>638</v>
      </c>
      <c r="F324" s="12"/>
      <c r="G324" s="12"/>
      <c r="H324" s="8"/>
      <c r="I324" s="8"/>
      <c r="J324" s="84"/>
      <c r="K324" s="16"/>
      <c r="L324" s="13"/>
      <c r="M324" s="15"/>
      <c r="N324" s="15"/>
      <c r="O324" s="15"/>
      <c r="P324" s="15"/>
      <c r="Q324" s="15"/>
      <c r="R324" s="15"/>
      <c r="S324" s="15"/>
      <c r="T324" s="15"/>
      <c r="U324" s="16"/>
    </row>
    <row r="325">
      <c r="A325" s="7"/>
      <c r="B325" s="8">
        <v>128.0</v>
      </c>
      <c r="C325" s="14" t="s">
        <v>886</v>
      </c>
      <c r="D325" s="11"/>
      <c r="E325" s="7" t="s">
        <v>638</v>
      </c>
      <c r="F325" s="12"/>
      <c r="G325" s="12"/>
      <c r="H325" s="8"/>
      <c r="I325" s="8"/>
      <c r="J325" s="84"/>
      <c r="K325" s="16"/>
      <c r="L325" s="13"/>
      <c r="M325" s="15"/>
      <c r="N325" s="15"/>
      <c r="O325" s="15"/>
      <c r="P325" s="15"/>
      <c r="Q325" s="15"/>
      <c r="R325" s="15"/>
      <c r="S325" s="15"/>
      <c r="T325" s="15"/>
      <c r="U325" s="16"/>
    </row>
    <row r="326">
      <c r="A326" s="7"/>
      <c r="B326" s="8">
        <v>129.0</v>
      </c>
      <c r="C326" s="14" t="s">
        <v>887</v>
      </c>
      <c r="D326" s="7" t="s">
        <v>888</v>
      </c>
      <c r="E326" s="11"/>
      <c r="F326" s="8" t="s">
        <v>889</v>
      </c>
      <c r="G326" s="8">
        <v>2000.0</v>
      </c>
      <c r="H326" s="8"/>
      <c r="I326" s="8"/>
      <c r="J326" s="84"/>
      <c r="K326" s="16"/>
      <c r="L326" s="13"/>
      <c r="M326" s="15"/>
      <c r="N326" s="15"/>
      <c r="O326" s="15"/>
      <c r="P326" s="15"/>
      <c r="Q326" s="15"/>
      <c r="R326" s="15"/>
      <c r="S326" s="15"/>
      <c r="T326" s="15"/>
      <c r="U326" s="16"/>
    </row>
    <row r="327">
      <c r="A327" s="41">
        <v>1.0</v>
      </c>
      <c r="B327" s="86">
        <v>130.0</v>
      </c>
      <c r="C327" s="87" t="s">
        <v>890</v>
      </c>
      <c r="D327" s="88" t="s">
        <v>48</v>
      </c>
      <c r="E327" s="88" t="s">
        <v>32</v>
      </c>
      <c r="F327" s="89" t="s">
        <v>891</v>
      </c>
      <c r="G327" s="89">
        <v>2005.0</v>
      </c>
      <c r="H327" s="89">
        <v>1.0</v>
      </c>
      <c r="I327" s="89">
        <v>1.0</v>
      </c>
      <c r="J327" s="90">
        <v>1.0</v>
      </c>
      <c r="K327" s="91" t="s">
        <v>892</v>
      </c>
      <c r="L327" s="91" t="s">
        <v>893</v>
      </c>
      <c r="M327" s="90" t="s">
        <v>894</v>
      </c>
      <c r="N327" s="90" t="s">
        <v>740</v>
      </c>
      <c r="O327" s="202" t="s">
        <v>895</v>
      </c>
      <c r="P327" s="92"/>
      <c r="Q327" s="92"/>
      <c r="R327" s="92">
        <f>FDIST(5.01,2,379)</f>
        <v>0.007119502478</v>
      </c>
      <c r="S327" s="203">
        <f t="shared" ref="S327:S330" si="46">NORMINV(1-R327/2,0,1)</f>
        <v>2.691202225</v>
      </c>
      <c r="T327" s="92">
        <f t="shared" ref="T327:T330" si="47">NORMDIST(S327,1.96,1,TRUE)</f>
        <v>0.7676721793</v>
      </c>
      <c r="U327" s="93"/>
    </row>
    <row r="328">
      <c r="A328" s="41"/>
      <c r="B328" s="42">
        <v>130.0</v>
      </c>
      <c r="C328" s="43"/>
      <c r="D328" s="41"/>
      <c r="E328" s="41"/>
      <c r="F328" s="43"/>
      <c r="G328" s="43"/>
      <c r="H328" s="43">
        <v>1.0</v>
      </c>
      <c r="I328" s="43">
        <v>1.0</v>
      </c>
      <c r="J328" s="44">
        <v>1.0</v>
      </c>
      <c r="K328" s="45"/>
      <c r="L328" s="45" t="s">
        <v>896</v>
      </c>
      <c r="M328" s="44" t="s">
        <v>897</v>
      </c>
      <c r="N328" s="123" t="s">
        <v>275</v>
      </c>
      <c r="O328" s="47"/>
      <c r="P328" s="47"/>
      <c r="Q328" s="47"/>
      <c r="R328" s="47">
        <f>FDIST(0.76,2,379)</f>
        <v>0.4683777962</v>
      </c>
      <c r="S328" s="204">
        <f t="shared" si="46"/>
        <v>0.7251210096</v>
      </c>
      <c r="T328" s="47">
        <f t="shared" si="47"/>
        <v>0.1084377718</v>
      </c>
      <c r="U328" s="50"/>
    </row>
    <row r="329">
      <c r="A329" s="41"/>
      <c r="B329" s="42">
        <v>130.0</v>
      </c>
      <c r="C329" s="43"/>
      <c r="D329" s="41"/>
      <c r="E329" s="41"/>
      <c r="F329" s="43"/>
      <c r="G329" s="43"/>
      <c r="H329" s="43">
        <v>1.0</v>
      </c>
      <c r="I329" s="43">
        <v>1.0</v>
      </c>
      <c r="J329" s="44">
        <v>1.0</v>
      </c>
      <c r="K329" s="45"/>
      <c r="L329" s="45" t="s">
        <v>898</v>
      </c>
      <c r="M329" s="44" t="s">
        <v>899</v>
      </c>
      <c r="N329" s="44" t="s">
        <v>128</v>
      </c>
      <c r="O329" s="44" t="s">
        <v>900</v>
      </c>
      <c r="P329" s="47"/>
      <c r="Q329" s="47"/>
      <c r="R329" s="47">
        <f>FDIST(7.84,2,141)</f>
        <v>0.0005908690737</v>
      </c>
      <c r="S329" s="131">
        <f t="shared" si="46"/>
        <v>3.435771506</v>
      </c>
      <c r="T329" s="47">
        <f t="shared" si="47"/>
        <v>0.9299973787</v>
      </c>
      <c r="U329" s="50"/>
    </row>
    <row r="330">
      <c r="A330" s="41"/>
      <c r="B330" s="42">
        <v>130.0</v>
      </c>
      <c r="C330" s="43"/>
      <c r="D330" s="41"/>
      <c r="E330" s="41"/>
      <c r="F330" s="43"/>
      <c r="G330" s="43"/>
      <c r="H330" s="43">
        <v>1.0</v>
      </c>
      <c r="I330" s="43">
        <v>1.0</v>
      </c>
      <c r="J330" s="44">
        <v>1.0</v>
      </c>
      <c r="K330" s="45"/>
      <c r="L330" s="45" t="s">
        <v>901</v>
      </c>
      <c r="M330" s="44" t="s">
        <v>902</v>
      </c>
      <c r="N330" s="123" t="s">
        <v>740</v>
      </c>
      <c r="O330" s="123" t="s">
        <v>903</v>
      </c>
      <c r="P330" s="47"/>
      <c r="Q330" s="47"/>
      <c r="R330" s="47">
        <f>FDIST(6.2,2,376)</f>
        <v>0.002242958582</v>
      </c>
      <c r="S330" s="204">
        <f t="shared" si="46"/>
        <v>3.056020581</v>
      </c>
      <c r="T330" s="47">
        <f t="shared" si="47"/>
        <v>0.8634651162</v>
      </c>
      <c r="U330" s="50"/>
    </row>
    <row r="331">
      <c r="A331" s="48"/>
      <c r="B331" s="97">
        <v>130.0</v>
      </c>
      <c r="C331" s="49"/>
      <c r="D331" s="48"/>
      <c r="E331" s="48"/>
      <c r="F331" s="49"/>
      <c r="G331" s="49"/>
      <c r="H331" s="49"/>
      <c r="I331" s="49">
        <v>1.0</v>
      </c>
      <c r="J331" s="98">
        <v>2.0</v>
      </c>
      <c r="K331" s="53" t="s">
        <v>904</v>
      </c>
      <c r="L331" s="49" t="s">
        <v>905</v>
      </c>
      <c r="M331" s="55"/>
      <c r="N331" s="55"/>
      <c r="O331" s="55"/>
      <c r="P331" s="55"/>
      <c r="Q331" s="55"/>
      <c r="R331" s="55"/>
      <c r="S331" s="55"/>
      <c r="T331" s="55"/>
      <c r="U331" s="99" t="s">
        <v>906</v>
      </c>
    </row>
    <row r="332">
      <c r="A332" s="48"/>
      <c r="B332" s="97">
        <v>130.0</v>
      </c>
      <c r="C332" s="49"/>
      <c r="D332" s="48"/>
      <c r="E332" s="48"/>
      <c r="F332" s="49"/>
      <c r="G332" s="49"/>
      <c r="H332" s="49"/>
      <c r="I332" s="49">
        <v>1.0</v>
      </c>
      <c r="J332" s="98">
        <v>3.0</v>
      </c>
      <c r="K332" s="53" t="s">
        <v>907</v>
      </c>
      <c r="L332" s="54"/>
      <c r="M332" s="55"/>
      <c r="N332" s="55"/>
      <c r="O332" s="55"/>
      <c r="P332" s="55"/>
      <c r="Q332" s="55"/>
      <c r="R332" s="55"/>
      <c r="S332" s="55"/>
      <c r="T332" s="55"/>
      <c r="U332" s="99"/>
    </row>
    <row r="333">
      <c r="A333" s="48"/>
      <c r="B333" s="97">
        <v>130.0</v>
      </c>
      <c r="C333" s="49"/>
      <c r="D333" s="48"/>
      <c r="E333" s="48"/>
      <c r="F333" s="49"/>
      <c r="G333" s="49"/>
      <c r="H333" s="49"/>
      <c r="I333" s="49">
        <v>1.0</v>
      </c>
      <c r="J333" s="98">
        <v>4.0</v>
      </c>
      <c r="K333" s="53" t="s">
        <v>908</v>
      </c>
      <c r="L333" s="54"/>
      <c r="M333" s="55"/>
      <c r="N333" s="55"/>
      <c r="O333" s="55"/>
      <c r="P333" s="55"/>
      <c r="Q333" s="55"/>
      <c r="R333" s="55"/>
      <c r="S333" s="55"/>
      <c r="T333" s="55"/>
      <c r="U333" s="99"/>
    </row>
    <row r="334">
      <c r="A334" s="22"/>
      <c r="B334" s="104">
        <v>130.0</v>
      </c>
      <c r="C334" s="105"/>
      <c r="D334" s="106"/>
      <c r="E334" s="106"/>
      <c r="F334" s="105"/>
      <c r="G334" s="105"/>
      <c r="H334" s="105"/>
      <c r="I334" s="105">
        <v>1.0</v>
      </c>
      <c r="J334" s="107">
        <v>5.0</v>
      </c>
      <c r="K334" s="108" t="s">
        <v>909</v>
      </c>
      <c r="L334" s="108" t="s">
        <v>910</v>
      </c>
      <c r="M334" s="110"/>
      <c r="N334" s="110"/>
      <c r="O334" s="110"/>
      <c r="P334" s="110"/>
      <c r="Q334" s="110"/>
      <c r="R334" s="110"/>
      <c r="S334" s="110"/>
      <c r="T334" s="110"/>
      <c r="U334" s="111"/>
    </row>
    <row r="335">
      <c r="A335" s="7"/>
      <c r="B335" s="8"/>
      <c r="C335" s="8"/>
      <c r="D335" s="7"/>
      <c r="E335" s="7"/>
      <c r="F335" s="8"/>
      <c r="G335" s="8"/>
      <c r="H335" s="8"/>
      <c r="I335" s="8"/>
      <c r="J335" s="84"/>
      <c r="K335" s="16"/>
      <c r="L335" s="13"/>
      <c r="M335" s="15"/>
      <c r="N335" s="15"/>
      <c r="O335" s="15"/>
      <c r="P335" s="15"/>
      <c r="Q335" s="15"/>
      <c r="R335" s="15"/>
      <c r="S335" s="15"/>
      <c r="T335" s="15"/>
      <c r="U335" s="16"/>
    </row>
    <row r="336">
      <c r="A336" s="41">
        <v>1.0</v>
      </c>
      <c r="B336" s="86">
        <v>131.0</v>
      </c>
      <c r="C336" s="87" t="s">
        <v>911</v>
      </c>
      <c r="D336" s="88" t="s">
        <v>48</v>
      </c>
      <c r="E336" s="88" t="s">
        <v>32</v>
      </c>
      <c r="F336" s="89" t="s">
        <v>912</v>
      </c>
      <c r="G336" s="89">
        <v>2000.0</v>
      </c>
      <c r="H336" s="89">
        <v>1.0</v>
      </c>
      <c r="I336" s="89">
        <v>1.0</v>
      </c>
      <c r="J336" s="90">
        <v>1.0</v>
      </c>
      <c r="K336" s="91" t="s">
        <v>913</v>
      </c>
      <c r="L336" s="91" t="s">
        <v>914</v>
      </c>
      <c r="M336" s="90" t="s">
        <v>915</v>
      </c>
      <c r="N336" s="90" t="s">
        <v>916</v>
      </c>
      <c r="O336" s="92"/>
      <c r="P336" s="90" t="s">
        <v>917</v>
      </c>
      <c r="Q336" s="92"/>
      <c r="R336" s="92">
        <f>FDIST(64.9,1,26)</f>
        <v>0.00000001551459183</v>
      </c>
      <c r="S336" s="92">
        <f t="shared" ref="S336:S338" si="48">NORMINV(1-R336/2,0,1)</f>
        <v>5.655773546</v>
      </c>
      <c r="T336" s="205">
        <f t="shared" ref="T336:T338" si="49">NORMDIST(S336,1.96,1,TRUE)</f>
        <v>0.9998903908</v>
      </c>
      <c r="U336" s="206"/>
    </row>
    <row r="337">
      <c r="A337" s="41">
        <v>1.0</v>
      </c>
      <c r="B337" s="42">
        <v>131.0</v>
      </c>
      <c r="C337" s="43"/>
      <c r="D337" s="41"/>
      <c r="E337" s="41"/>
      <c r="F337" s="43"/>
      <c r="G337" s="43"/>
      <c r="H337" s="43">
        <v>2.0</v>
      </c>
      <c r="I337" s="43">
        <v>2.0</v>
      </c>
      <c r="J337" s="44" t="s">
        <v>642</v>
      </c>
      <c r="K337" s="45" t="s">
        <v>918</v>
      </c>
      <c r="L337" s="45" t="s">
        <v>919</v>
      </c>
      <c r="M337" s="44" t="s">
        <v>920</v>
      </c>
      <c r="N337" s="44" t="s">
        <v>916</v>
      </c>
      <c r="O337" s="47"/>
      <c r="P337" s="44" t="s">
        <v>921</v>
      </c>
      <c r="Q337" s="47"/>
      <c r="R337" s="47">
        <f>FDIST(50.99,1,10)</f>
        <v>0.00003139234398</v>
      </c>
      <c r="S337" s="47">
        <f t="shared" si="48"/>
        <v>4.163123516</v>
      </c>
      <c r="T337" s="204">
        <f t="shared" si="49"/>
        <v>0.9862069779</v>
      </c>
      <c r="U337" s="50" t="s">
        <v>922</v>
      </c>
    </row>
    <row r="338">
      <c r="A338" s="41">
        <v>1.0</v>
      </c>
      <c r="B338" s="83">
        <v>131.0</v>
      </c>
      <c r="C338" s="75"/>
      <c r="D338" s="76"/>
      <c r="E338" s="76"/>
      <c r="F338" s="75"/>
      <c r="G338" s="75"/>
      <c r="H338" s="75">
        <v>3.0</v>
      </c>
      <c r="I338" s="75">
        <v>3.0</v>
      </c>
      <c r="J338" s="77" t="s">
        <v>644</v>
      </c>
      <c r="K338" s="78" t="s">
        <v>923</v>
      </c>
      <c r="L338" s="78" t="s">
        <v>924</v>
      </c>
      <c r="M338" s="77" t="s">
        <v>925</v>
      </c>
      <c r="N338" s="77" t="s">
        <v>916</v>
      </c>
      <c r="O338" s="80"/>
      <c r="P338" s="77" t="s">
        <v>926</v>
      </c>
      <c r="Q338" s="80"/>
      <c r="R338" s="80">
        <f>FDIST(36.26,1,13)</f>
        <v>0.00004292254201</v>
      </c>
      <c r="S338" s="80">
        <f t="shared" si="48"/>
        <v>4.09115754</v>
      </c>
      <c r="T338" s="207">
        <f t="shared" si="49"/>
        <v>0.9834619171</v>
      </c>
      <c r="U338" s="81"/>
    </row>
    <row r="339">
      <c r="A339" s="7"/>
      <c r="B339" s="8">
        <v>132.0</v>
      </c>
      <c r="C339" s="14" t="s">
        <v>927</v>
      </c>
      <c r="D339" s="11"/>
      <c r="E339" s="7" t="s">
        <v>638</v>
      </c>
      <c r="F339" s="12"/>
      <c r="G339" s="12"/>
      <c r="H339" s="8"/>
      <c r="I339" s="8"/>
      <c r="J339" s="84"/>
      <c r="K339" s="16"/>
      <c r="L339" s="13"/>
      <c r="M339" s="15"/>
      <c r="N339" s="15"/>
      <c r="O339" s="15"/>
      <c r="P339" s="15"/>
      <c r="Q339" s="15"/>
      <c r="R339" s="15"/>
      <c r="S339" s="15"/>
      <c r="T339" s="15"/>
      <c r="U339" s="16"/>
    </row>
    <row r="340">
      <c r="A340" s="7"/>
      <c r="B340" s="8">
        <v>133.0</v>
      </c>
      <c r="C340" s="14" t="s">
        <v>928</v>
      </c>
      <c r="D340" s="7" t="s">
        <v>929</v>
      </c>
      <c r="E340" s="11"/>
      <c r="F340" s="12"/>
      <c r="G340" s="12"/>
      <c r="H340" s="8"/>
      <c r="I340" s="8"/>
      <c r="J340" s="84"/>
      <c r="K340" s="16"/>
      <c r="L340" s="13"/>
      <c r="M340" s="15"/>
      <c r="N340" s="15"/>
      <c r="O340" s="15"/>
      <c r="P340" s="15"/>
      <c r="Q340" s="15"/>
      <c r="R340" s="15"/>
      <c r="S340" s="15"/>
      <c r="T340" s="15"/>
      <c r="U340" s="16"/>
    </row>
    <row r="341">
      <c r="A341" s="7"/>
      <c r="B341" s="8">
        <v>134.0</v>
      </c>
      <c r="C341" s="14" t="s">
        <v>930</v>
      </c>
      <c r="D341" s="7" t="s">
        <v>22</v>
      </c>
      <c r="E341" s="11"/>
      <c r="F341" s="8" t="s">
        <v>811</v>
      </c>
      <c r="G341" s="8">
        <v>2000.0</v>
      </c>
      <c r="H341" s="8"/>
      <c r="I341" s="8"/>
      <c r="J341" s="84"/>
      <c r="K341" s="16"/>
      <c r="L341" s="13"/>
      <c r="M341" s="15"/>
      <c r="N341" s="15"/>
      <c r="O341" s="15"/>
      <c r="P341" s="15"/>
      <c r="Q341" s="15"/>
      <c r="R341" s="15"/>
      <c r="S341" s="15"/>
      <c r="T341" s="15"/>
      <c r="U341" s="16"/>
    </row>
    <row r="342">
      <c r="A342" s="7"/>
      <c r="B342" s="8">
        <v>135.0</v>
      </c>
      <c r="C342" s="14" t="s">
        <v>931</v>
      </c>
      <c r="D342" s="7" t="s">
        <v>444</v>
      </c>
      <c r="E342" s="11"/>
      <c r="F342" s="8" t="s">
        <v>932</v>
      </c>
      <c r="G342" s="8">
        <v>2001.0</v>
      </c>
      <c r="H342" s="8"/>
      <c r="I342" s="8"/>
      <c r="J342" s="84"/>
      <c r="K342" s="16"/>
      <c r="L342" s="13"/>
      <c r="M342" s="15"/>
      <c r="N342" s="15"/>
      <c r="O342" s="15"/>
      <c r="P342" s="15"/>
      <c r="Q342" s="15"/>
      <c r="R342" s="15"/>
      <c r="S342" s="15"/>
      <c r="T342" s="15"/>
      <c r="U342" s="16"/>
    </row>
    <row r="343">
      <c r="A343" s="7"/>
      <c r="B343" s="8">
        <v>136.0</v>
      </c>
      <c r="C343" s="14" t="s">
        <v>933</v>
      </c>
      <c r="D343" s="11"/>
      <c r="E343" s="7" t="s">
        <v>768</v>
      </c>
      <c r="F343" s="8" t="s">
        <v>934</v>
      </c>
      <c r="G343" s="8">
        <v>2016.0</v>
      </c>
      <c r="H343" s="8"/>
      <c r="I343" s="8"/>
      <c r="J343" s="84"/>
      <c r="K343" s="16"/>
      <c r="L343" s="13"/>
      <c r="M343" s="15"/>
      <c r="N343" s="15"/>
      <c r="O343" s="15"/>
      <c r="P343" s="15"/>
      <c r="Q343" s="15"/>
      <c r="R343" s="15"/>
      <c r="S343" s="15"/>
      <c r="T343" s="15"/>
      <c r="U343" s="16"/>
    </row>
    <row r="344">
      <c r="A344" s="7"/>
      <c r="B344" s="8">
        <v>137.0</v>
      </c>
      <c r="C344" s="14" t="s">
        <v>935</v>
      </c>
      <c r="D344" s="7" t="s">
        <v>936</v>
      </c>
      <c r="E344" s="11"/>
      <c r="F344" s="8" t="s">
        <v>937</v>
      </c>
      <c r="G344" s="8">
        <v>2003.0</v>
      </c>
      <c r="H344" s="8"/>
      <c r="I344" s="8"/>
      <c r="J344" s="84"/>
      <c r="K344" s="16"/>
      <c r="L344" s="13"/>
      <c r="M344" s="15"/>
      <c r="N344" s="15"/>
      <c r="O344" s="15"/>
      <c r="P344" s="15"/>
      <c r="Q344" s="15"/>
      <c r="R344" s="15"/>
      <c r="S344" s="15"/>
      <c r="T344" s="15"/>
      <c r="U344" s="16"/>
    </row>
    <row r="345">
      <c r="A345" s="41">
        <v>1.0</v>
      </c>
      <c r="B345" s="86">
        <v>138.0</v>
      </c>
      <c r="C345" s="87" t="s">
        <v>938</v>
      </c>
      <c r="D345" s="88" t="s">
        <v>48</v>
      </c>
      <c r="E345" s="88" t="s">
        <v>32</v>
      </c>
      <c r="F345" s="89" t="s">
        <v>939</v>
      </c>
      <c r="G345" s="89">
        <v>2016.0</v>
      </c>
      <c r="H345" s="89">
        <v>1.0</v>
      </c>
      <c r="I345" s="89">
        <v>1.0</v>
      </c>
      <c r="J345" s="90">
        <v>1.0</v>
      </c>
      <c r="K345" s="91" t="s">
        <v>940</v>
      </c>
      <c r="L345" s="91" t="s">
        <v>941</v>
      </c>
      <c r="M345" s="90" t="s">
        <v>942</v>
      </c>
      <c r="N345" s="90" t="s">
        <v>943</v>
      </c>
      <c r="O345" s="92"/>
      <c r="P345" s="90" t="s">
        <v>944</v>
      </c>
      <c r="Q345" s="92"/>
      <c r="R345" s="92">
        <f>TDIST(2.42,78,2)</f>
        <v>0.01784704104</v>
      </c>
      <c r="S345" s="92">
        <f t="shared" ref="S345:S348" si="50">NORMINV(1-R345/2,0,1)</f>
        <v>2.368776369</v>
      </c>
      <c r="T345" s="203">
        <f t="shared" ref="T345:T348" si="51">NORMDIST(S345,1.96,1,TRUE)</f>
        <v>0.6586481083</v>
      </c>
      <c r="U345" s="93"/>
    </row>
    <row r="346">
      <c r="A346" s="41"/>
      <c r="B346" s="42">
        <v>138.0</v>
      </c>
      <c r="C346" s="43"/>
      <c r="D346" s="41"/>
      <c r="E346" s="41"/>
      <c r="F346" s="43"/>
      <c r="G346" s="43"/>
      <c r="H346" s="43">
        <v>1.0</v>
      </c>
      <c r="I346" s="43">
        <v>1.0</v>
      </c>
      <c r="J346" s="44">
        <v>2.0</v>
      </c>
      <c r="K346" s="45" t="s">
        <v>945</v>
      </c>
      <c r="L346" s="45" t="s">
        <v>946</v>
      </c>
      <c r="M346" s="44" t="s">
        <v>947</v>
      </c>
      <c r="N346" s="123" t="s">
        <v>128</v>
      </c>
      <c r="O346" s="47"/>
      <c r="P346" s="44" t="s">
        <v>948</v>
      </c>
      <c r="Q346" s="47"/>
      <c r="R346" s="47">
        <f>TDIST(3.76,39,2)</f>
        <v>0.0005571588424</v>
      </c>
      <c r="S346" s="47">
        <f t="shared" si="50"/>
        <v>3.451655381</v>
      </c>
      <c r="T346" s="204">
        <f t="shared" si="51"/>
        <v>0.9321052441</v>
      </c>
      <c r="U346" s="50"/>
    </row>
    <row r="347">
      <c r="A347" s="41"/>
      <c r="B347" s="42">
        <v>138.0</v>
      </c>
      <c r="C347" s="43"/>
      <c r="D347" s="41"/>
      <c r="E347" s="41"/>
      <c r="F347" s="43"/>
      <c r="G347" s="43"/>
      <c r="H347" s="43">
        <v>1.0</v>
      </c>
      <c r="I347" s="43">
        <v>1.0</v>
      </c>
      <c r="J347" s="44">
        <v>3.0</v>
      </c>
      <c r="K347" s="45" t="s">
        <v>949</v>
      </c>
      <c r="L347" s="45" t="s">
        <v>950</v>
      </c>
      <c r="M347" s="44" t="s">
        <v>951</v>
      </c>
      <c r="N347" s="44" t="s">
        <v>128</v>
      </c>
      <c r="O347" s="47"/>
      <c r="P347" s="44" t="s">
        <v>952</v>
      </c>
      <c r="Q347" s="47"/>
      <c r="R347" s="47">
        <f>tdist(4.42,24,2)</f>
        <v>0.0001815376312</v>
      </c>
      <c r="S347" s="47">
        <f t="shared" si="50"/>
        <v>3.743412783</v>
      </c>
      <c r="T347" s="204">
        <f t="shared" si="51"/>
        <v>0.9627404331</v>
      </c>
      <c r="U347" s="50"/>
    </row>
    <row r="348">
      <c r="A348" s="41"/>
      <c r="B348" s="42">
        <v>138.0</v>
      </c>
      <c r="C348" s="43"/>
      <c r="D348" s="41"/>
      <c r="E348" s="41"/>
      <c r="F348" s="43"/>
      <c r="G348" s="43"/>
      <c r="H348" s="43">
        <v>1.0</v>
      </c>
      <c r="I348" s="43">
        <v>1.0</v>
      </c>
      <c r="J348" s="44"/>
      <c r="K348" s="45"/>
      <c r="L348" s="45" t="s">
        <v>953</v>
      </c>
      <c r="M348" s="44" t="s">
        <v>954</v>
      </c>
      <c r="N348" s="44" t="s">
        <v>955</v>
      </c>
      <c r="O348" s="47"/>
      <c r="P348" s="47"/>
      <c r="Q348" s="47"/>
      <c r="R348" s="47">
        <f>TDIST(0.41,24,2)</f>
        <v>0.685442779</v>
      </c>
      <c r="S348" s="47">
        <f t="shared" si="50"/>
        <v>0.4050472509</v>
      </c>
      <c r="T348" s="204">
        <f t="shared" si="51"/>
        <v>0.05997866156</v>
      </c>
      <c r="U348" s="50"/>
    </row>
    <row r="349">
      <c r="A349" s="22"/>
      <c r="B349" s="74">
        <v>138.0</v>
      </c>
      <c r="C349" s="62"/>
      <c r="D349" s="22"/>
      <c r="E349" s="22"/>
      <c r="F349" s="62"/>
      <c r="G349" s="62"/>
      <c r="H349" s="62"/>
      <c r="I349" s="62">
        <v>1.0</v>
      </c>
      <c r="J349" s="63">
        <v>4.0</v>
      </c>
      <c r="K349" s="64" t="s">
        <v>956</v>
      </c>
      <c r="L349" s="65"/>
      <c r="M349" s="66"/>
      <c r="N349" s="66"/>
      <c r="O349" s="66"/>
      <c r="P349" s="66"/>
      <c r="Q349" s="66"/>
      <c r="R349" s="66"/>
      <c r="S349" s="66"/>
      <c r="T349" s="66"/>
      <c r="U349" s="67"/>
    </row>
    <row r="350">
      <c r="A350" s="41">
        <v>1.0</v>
      </c>
      <c r="B350" s="42">
        <v>138.0</v>
      </c>
      <c r="C350" s="43"/>
      <c r="D350" s="41"/>
      <c r="E350" s="94"/>
      <c r="F350" s="43"/>
      <c r="G350" s="43"/>
      <c r="H350" s="43">
        <v>2.0</v>
      </c>
      <c r="I350" s="43">
        <v>2.0</v>
      </c>
      <c r="J350" s="44">
        <v>1.0</v>
      </c>
      <c r="K350" s="45" t="s">
        <v>957</v>
      </c>
      <c r="L350" s="45" t="s">
        <v>958</v>
      </c>
      <c r="M350" s="123" t="s">
        <v>959</v>
      </c>
      <c r="N350" s="44" t="s">
        <v>960</v>
      </c>
      <c r="O350" s="47"/>
      <c r="P350" s="44" t="s">
        <v>961</v>
      </c>
      <c r="Q350" s="47"/>
      <c r="R350" s="47">
        <f>FDIST(7.81,1,53)</f>
        <v>0.007218063346</v>
      </c>
      <c r="S350" s="47">
        <f t="shared" ref="S350:S353" si="52">NORMINV(1-R350/2,0,1)</f>
        <v>2.686612517</v>
      </c>
      <c r="T350" s="204">
        <f t="shared" ref="T350:T353" si="53">NORMDIST(S350,1.96,1,TRUE)</f>
        <v>0.7662683209</v>
      </c>
      <c r="U350" s="50"/>
    </row>
    <row r="351">
      <c r="A351" s="41"/>
      <c r="B351" s="42">
        <v>138.0</v>
      </c>
      <c r="C351" s="43"/>
      <c r="D351" s="41"/>
      <c r="E351" s="94"/>
      <c r="F351" s="43"/>
      <c r="G351" s="43"/>
      <c r="H351" s="43">
        <v>2.0</v>
      </c>
      <c r="I351" s="43">
        <v>2.0</v>
      </c>
      <c r="J351" s="44">
        <v>2.0</v>
      </c>
      <c r="K351" s="45" t="s">
        <v>962</v>
      </c>
      <c r="L351" s="45" t="s">
        <v>963</v>
      </c>
      <c r="M351" s="44" t="s">
        <v>964</v>
      </c>
      <c r="N351" s="44" t="s">
        <v>128</v>
      </c>
      <c r="O351" s="47"/>
      <c r="P351" s="44" t="s">
        <v>965</v>
      </c>
      <c r="Q351" s="47"/>
      <c r="R351" s="47">
        <f>FDIST(25.49,1,53)</f>
        <v>0.000005591991713</v>
      </c>
      <c r="S351" s="47">
        <f t="shared" si="52"/>
        <v>4.541256616</v>
      </c>
      <c r="T351" s="204">
        <f t="shared" si="53"/>
        <v>0.9950779312</v>
      </c>
      <c r="U351" s="50"/>
    </row>
    <row r="352">
      <c r="A352" s="41"/>
      <c r="B352" s="42">
        <v>138.0</v>
      </c>
      <c r="C352" s="43"/>
      <c r="D352" s="41"/>
      <c r="E352" s="94"/>
      <c r="F352" s="43"/>
      <c r="G352" s="43"/>
      <c r="H352" s="43">
        <v>2.0</v>
      </c>
      <c r="I352" s="43">
        <v>2.0</v>
      </c>
      <c r="J352" s="44">
        <v>3.0</v>
      </c>
      <c r="K352" s="45" t="s">
        <v>966</v>
      </c>
      <c r="L352" s="45" t="s">
        <v>967</v>
      </c>
      <c r="M352" s="44" t="s">
        <v>968</v>
      </c>
      <c r="N352" s="98" t="s">
        <v>969</v>
      </c>
      <c r="O352" s="47"/>
      <c r="P352" s="44" t="s">
        <v>970</v>
      </c>
      <c r="Q352" s="47"/>
      <c r="R352" s="55">
        <f>TDIST(2.03,32,2)</f>
        <v>0.05073902153</v>
      </c>
      <c r="S352" s="47">
        <f t="shared" si="52"/>
        <v>1.953680437</v>
      </c>
      <c r="T352" s="204">
        <f t="shared" si="53"/>
        <v>0.4974788759</v>
      </c>
      <c r="U352" s="50"/>
    </row>
    <row r="353">
      <c r="A353" s="41"/>
      <c r="B353" s="83">
        <v>138.0</v>
      </c>
      <c r="C353" s="75"/>
      <c r="D353" s="76"/>
      <c r="E353" s="95"/>
      <c r="F353" s="75"/>
      <c r="G353" s="75"/>
      <c r="H353" s="75">
        <v>2.0</v>
      </c>
      <c r="I353" s="75">
        <v>2.0</v>
      </c>
      <c r="J353" s="77"/>
      <c r="K353" s="78"/>
      <c r="L353" s="78" t="s">
        <v>971</v>
      </c>
      <c r="M353" s="77" t="s">
        <v>972</v>
      </c>
      <c r="N353" s="77" t="s">
        <v>973</v>
      </c>
      <c r="O353" s="80"/>
      <c r="P353" s="77" t="s">
        <v>974</v>
      </c>
      <c r="Q353" s="80"/>
      <c r="R353" s="80">
        <f>tdist(3.38,16,2)</f>
        <v>0.003817917436</v>
      </c>
      <c r="S353" s="80">
        <f t="shared" si="52"/>
        <v>2.892826822</v>
      </c>
      <c r="T353" s="207">
        <f t="shared" si="53"/>
        <v>0.8245453048</v>
      </c>
      <c r="U353" s="81"/>
    </row>
    <row r="354">
      <c r="A354" s="7"/>
      <c r="B354" s="8">
        <v>139.0</v>
      </c>
      <c r="C354" s="14" t="s">
        <v>975</v>
      </c>
      <c r="D354" s="7" t="s">
        <v>936</v>
      </c>
      <c r="E354" s="11"/>
      <c r="F354" s="8" t="s">
        <v>976</v>
      </c>
      <c r="G354" s="8">
        <v>2010.0</v>
      </c>
      <c r="H354" s="8"/>
      <c r="I354" s="8"/>
      <c r="J354" s="84"/>
      <c r="K354" s="16"/>
      <c r="L354" s="13"/>
      <c r="M354" s="15"/>
      <c r="N354" s="15"/>
      <c r="O354" s="15"/>
      <c r="P354" s="15"/>
      <c r="Q354" s="15"/>
      <c r="R354" s="15"/>
      <c r="S354" s="15"/>
      <c r="T354" s="15"/>
      <c r="U354" s="16"/>
    </row>
    <row r="355">
      <c r="A355" s="48"/>
      <c r="B355" s="49">
        <v>140.0</v>
      </c>
      <c r="C355" s="51" t="s">
        <v>977</v>
      </c>
      <c r="D355" s="48" t="s">
        <v>978</v>
      </c>
      <c r="E355" s="48" t="s">
        <v>32</v>
      </c>
      <c r="F355" s="49" t="s">
        <v>979</v>
      </c>
      <c r="G355" s="49">
        <v>2016.0</v>
      </c>
      <c r="H355" s="49"/>
      <c r="I355" s="49"/>
      <c r="J355" s="98"/>
      <c r="K355" s="53"/>
      <c r="L355" s="54"/>
      <c r="M355" s="55"/>
      <c r="N355" s="55"/>
      <c r="O355" s="55"/>
      <c r="P355" s="55"/>
      <c r="Q355" s="55"/>
      <c r="R355" s="55"/>
      <c r="S355" s="55"/>
      <c r="T355" s="55"/>
      <c r="U355" s="53"/>
    </row>
    <row r="356">
      <c r="A356" s="7"/>
      <c r="B356" s="8"/>
      <c r="C356" s="8"/>
      <c r="D356" s="7"/>
      <c r="E356" s="7"/>
      <c r="F356" s="8"/>
      <c r="G356" s="8"/>
      <c r="H356" s="8"/>
      <c r="I356" s="8"/>
      <c r="J356" s="84"/>
      <c r="K356" s="16"/>
      <c r="L356" s="13"/>
      <c r="M356" s="15"/>
      <c r="N356" s="15"/>
      <c r="O356" s="15"/>
      <c r="P356" s="15"/>
      <c r="Q356" s="15"/>
      <c r="R356" s="15"/>
      <c r="S356" s="15"/>
      <c r="T356" s="15"/>
      <c r="U356" s="16"/>
    </row>
    <row r="357">
      <c r="A357" s="22"/>
      <c r="B357" s="24">
        <v>141.0</v>
      </c>
      <c r="C357" s="31" t="s">
        <v>980</v>
      </c>
      <c r="D357" s="33" t="s">
        <v>48</v>
      </c>
      <c r="E357" s="33" t="s">
        <v>32</v>
      </c>
      <c r="F357" s="35" t="s">
        <v>981</v>
      </c>
      <c r="G357" s="35">
        <v>2000.0</v>
      </c>
      <c r="H357" s="35"/>
      <c r="I357" s="35">
        <v>1.0</v>
      </c>
      <c r="J357" s="36" t="s">
        <v>199</v>
      </c>
      <c r="K357" s="37" t="s">
        <v>982</v>
      </c>
      <c r="L357" s="37" t="s">
        <v>983</v>
      </c>
      <c r="M357" s="39"/>
      <c r="N357" s="39"/>
      <c r="O357" s="39"/>
      <c r="P357" s="39"/>
      <c r="Q357" s="39"/>
      <c r="R357" s="39"/>
      <c r="S357" s="39"/>
      <c r="T357" s="39"/>
      <c r="U357" s="40"/>
    </row>
    <row r="358">
      <c r="A358" s="22"/>
      <c r="B358" s="74">
        <v>141.0</v>
      </c>
      <c r="C358" s="62"/>
      <c r="D358" s="22"/>
      <c r="E358" s="127"/>
      <c r="F358" s="62"/>
      <c r="G358" s="62"/>
      <c r="H358" s="62"/>
      <c r="I358" s="62">
        <v>1.0</v>
      </c>
      <c r="J358" s="63" t="s">
        <v>206</v>
      </c>
      <c r="K358" s="64" t="s">
        <v>984</v>
      </c>
      <c r="L358" s="64" t="s">
        <v>985</v>
      </c>
      <c r="M358" s="66"/>
      <c r="N358" s="66"/>
      <c r="O358" s="66"/>
      <c r="P358" s="66"/>
      <c r="Q358" s="66"/>
      <c r="R358" s="66"/>
      <c r="S358" s="66"/>
      <c r="T358" s="66"/>
      <c r="U358" s="67"/>
    </row>
    <row r="359">
      <c r="A359" s="22"/>
      <c r="B359" s="74">
        <v>141.0</v>
      </c>
      <c r="C359" s="62"/>
      <c r="D359" s="22"/>
      <c r="E359" s="127"/>
      <c r="F359" s="62"/>
      <c r="G359" s="62"/>
      <c r="H359" s="62"/>
      <c r="I359" s="62">
        <v>1.0</v>
      </c>
      <c r="J359" s="63" t="s">
        <v>642</v>
      </c>
      <c r="K359" s="64" t="s">
        <v>986</v>
      </c>
      <c r="L359" s="64" t="s">
        <v>307</v>
      </c>
      <c r="M359" s="66"/>
      <c r="N359" s="66"/>
      <c r="O359" s="66"/>
      <c r="P359" s="66"/>
      <c r="Q359" s="66"/>
      <c r="R359" s="66"/>
      <c r="S359" s="66"/>
      <c r="T359" s="66"/>
      <c r="U359" s="67"/>
    </row>
    <row r="360">
      <c r="A360" s="22"/>
      <c r="B360" s="74">
        <v>141.0</v>
      </c>
      <c r="C360" s="62"/>
      <c r="D360" s="22"/>
      <c r="E360" s="127"/>
      <c r="F360" s="62"/>
      <c r="G360" s="62"/>
      <c r="H360" s="62"/>
      <c r="I360" s="62">
        <v>1.0</v>
      </c>
      <c r="J360" s="63" t="s">
        <v>644</v>
      </c>
      <c r="K360" s="64" t="s">
        <v>987</v>
      </c>
      <c r="L360" s="64" t="s">
        <v>307</v>
      </c>
      <c r="M360" s="66"/>
      <c r="N360" s="66"/>
      <c r="O360" s="66"/>
      <c r="P360" s="66"/>
      <c r="Q360" s="66"/>
      <c r="R360" s="66"/>
      <c r="S360" s="66"/>
      <c r="T360" s="66"/>
      <c r="U360" s="67"/>
    </row>
    <row r="361">
      <c r="A361" s="22"/>
      <c r="B361" s="74">
        <v>141.0</v>
      </c>
      <c r="C361" s="62"/>
      <c r="D361" s="22"/>
      <c r="E361" s="127"/>
      <c r="F361" s="62"/>
      <c r="G361" s="62"/>
      <c r="H361" s="62"/>
      <c r="I361" s="62">
        <v>1.0</v>
      </c>
      <c r="J361" s="63" t="s">
        <v>53</v>
      </c>
      <c r="K361" s="64" t="s">
        <v>988</v>
      </c>
      <c r="L361" s="64" t="s">
        <v>307</v>
      </c>
      <c r="M361" s="66"/>
      <c r="N361" s="66"/>
      <c r="O361" s="66"/>
      <c r="P361" s="66"/>
      <c r="Q361" s="66"/>
      <c r="R361" s="66"/>
      <c r="S361" s="66"/>
      <c r="T361" s="66"/>
      <c r="U361" s="67"/>
    </row>
    <row r="362">
      <c r="A362" s="22"/>
      <c r="B362" s="74">
        <v>141.0</v>
      </c>
      <c r="C362" s="62"/>
      <c r="D362" s="22"/>
      <c r="E362" s="127"/>
      <c r="F362" s="62"/>
      <c r="G362" s="62"/>
      <c r="H362" s="62"/>
      <c r="I362" s="62">
        <v>1.0</v>
      </c>
      <c r="J362" s="63" t="s">
        <v>65</v>
      </c>
      <c r="K362" s="64" t="s">
        <v>989</v>
      </c>
      <c r="L362" s="64" t="s">
        <v>307</v>
      </c>
      <c r="M362" s="66"/>
      <c r="N362" s="66"/>
      <c r="O362" s="66"/>
      <c r="P362" s="66"/>
      <c r="Q362" s="66"/>
      <c r="R362" s="66"/>
      <c r="S362" s="66"/>
      <c r="T362" s="66"/>
      <c r="U362" s="67"/>
    </row>
    <row r="363">
      <c r="A363" s="22"/>
      <c r="B363" s="74">
        <v>141.0</v>
      </c>
      <c r="C363" s="62"/>
      <c r="D363" s="22"/>
      <c r="E363" s="127"/>
      <c r="F363" s="62"/>
      <c r="G363" s="62"/>
      <c r="H363" s="62"/>
      <c r="I363" s="62">
        <v>1.0</v>
      </c>
      <c r="J363" s="63" t="s">
        <v>990</v>
      </c>
      <c r="K363" s="64" t="s">
        <v>991</v>
      </c>
      <c r="L363" s="64" t="s">
        <v>307</v>
      </c>
      <c r="M363" s="66"/>
      <c r="N363" s="66"/>
      <c r="O363" s="66"/>
      <c r="P363" s="66"/>
      <c r="Q363" s="66"/>
      <c r="R363" s="66"/>
      <c r="S363" s="66"/>
      <c r="T363" s="66"/>
      <c r="U363" s="67"/>
    </row>
    <row r="364">
      <c r="A364" s="22"/>
      <c r="B364" s="74">
        <v>141.0</v>
      </c>
      <c r="C364" s="62"/>
      <c r="D364" s="22"/>
      <c r="E364" s="127"/>
      <c r="F364" s="62"/>
      <c r="G364" s="62"/>
      <c r="H364" s="62"/>
      <c r="I364" s="62">
        <v>1.0</v>
      </c>
      <c r="J364" s="63">
        <v>4.0</v>
      </c>
      <c r="K364" s="64" t="s">
        <v>992</v>
      </c>
      <c r="L364" s="64" t="s">
        <v>307</v>
      </c>
      <c r="M364" s="66"/>
      <c r="N364" s="66"/>
      <c r="O364" s="66"/>
      <c r="P364" s="66"/>
      <c r="Q364" s="66"/>
      <c r="R364" s="66"/>
      <c r="S364" s="66"/>
      <c r="T364" s="66"/>
      <c r="U364" s="67"/>
    </row>
    <row r="365">
      <c r="A365" s="41">
        <v>1.0</v>
      </c>
      <c r="B365" s="42">
        <v>141.0</v>
      </c>
      <c r="C365" s="43"/>
      <c r="D365" s="41"/>
      <c r="E365" s="94"/>
      <c r="F365" s="43"/>
      <c r="G365" s="43"/>
      <c r="H365" s="43">
        <v>1.0</v>
      </c>
      <c r="I365" s="43">
        <v>1.0</v>
      </c>
      <c r="J365" s="44" t="s">
        <v>835</v>
      </c>
      <c r="K365" s="45" t="s">
        <v>993</v>
      </c>
      <c r="L365" s="45" t="s">
        <v>994</v>
      </c>
      <c r="M365" s="44" t="s">
        <v>995</v>
      </c>
      <c r="N365" s="44" t="s">
        <v>128</v>
      </c>
      <c r="O365" s="47"/>
      <c r="P365" s="47"/>
      <c r="Q365" s="47"/>
      <c r="R365" s="47">
        <f>TDIST(5.73,359,2)</f>
        <v>0.00000002128346788</v>
      </c>
      <c r="S365" s="47">
        <f t="shared" ref="S365:S366" si="54">NORMINV(1-R365/2,0,1)</f>
        <v>5.601231166</v>
      </c>
      <c r="T365" s="204">
        <f t="shared" ref="T365:T366" si="55">NORMDIST(S365,1.96,1,TRUE)</f>
        <v>0.9998643313</v>
      </c>
      <c r="U365" s="50"/>
    </row>
    <row r="366">
      <c r="A366" s="41"/>
      <c r="B366" s="42">
        <v>141.0</v>
      </c>
      <c r="C366" s="43"/>
      <c r="D366" s="41"/>
      <c r="E366" s="94"/>
      <c r="F366" s="43"/>
      <c r="G366" s="43"/>
      <c r="H366" s="43">
        <v>1.0</v>
      </c>
      <c r="I366" s="43">
        <v>1.0</v>
      </c>
      <c r="J366" s="44" t="s">
        <v>838</v>
      </c>
      <c r="K366" s="45" t="s">
        <v>996</v>
      </c>
      <c r="L366" s="45" t="s">
        <v>997</v>
      </c>
      <c r="M366" s="44" t="s">
        <v>998</v>
      </c>
      <c r="N366" s="44" t="s">
        <v>128</v>
      </c>
      <c r="O366" s="47"/>
      <c r="P366" s="47"/>
      <c r="Q366" s="47"/>
      <c r="R366" s="47">
        <f>TDIST(4.97,154,2)</f>
        <v>0.000001764449981</v>
      </c>
      <c r="S366" s="47">
        <f t="shared" si="54"/>
        <v>4.77868543</v>
      </c>
      <c r="T366" s="204">
        <f t="shared" si="55"/>
        <v>0.9975889625</v>
      </c>
      <c r="U366" s="50"/>
    </row>
    <row r="367">
      <c r="A367" s="22"/>
      <c r="B367" s="74">
        <v>141.0</v>
      </c>
      <c r="C367" s="62"/>
      <c r="D367" s="22"/>
      <c r="E367" s="127"/>
      <c r="F367" s="62"/>
      <c r="G367" s="62"/>
      <c r="H367" s="62"/>
      <c r="I367" s="62">
        <v>1.0</v>
      </c>
      <c r="J367" s="63">
        <v>6.0</v>
      </c>
      <c r="K367" s="64" t="s">
        <v>999</v>
      </c>
      <c r="L367" s="64" t="s">
        <v>307</v>
      </c>
      <c r="M367" s="66"/>
      <c r="N367" s="66"/>
      <c r="O367" s="66"/>
      <c r="P367" s="66"/>
      <c r="Q367" s="66"/>
      <c r="R367" s="66"/>
      <c r="S367" s="66"/>
      <c r="T367" s="66"/>
      <c r="U367" s="67"/>
    </row>
    <row r="368">
      <c r="A368" s="22"/>
      <c r="B368" s="74">
        <v>141.0</v>
      </c>
      <c r="C368" s="62"/>
      <c r="D368" s="22"/>
      <c r="E368" s="127"/>
      <c r="F368" s="62"/>
      <c r="G368" s="62"/>
      <c r="H368" s="62"/>
      <c r="I368" s="62">
        <v>1.0</v>
      </c>
      <c r="J368" s="63" t="s">
        <v>475</v>
      </c>
      <c r="K368" s="64" t="s">
        <v>1000</v>
      </c>
      <c r="L368" s="64" t="s">
        <v>307</v>
      </c>
      <c r="M368" s="66"/>
      <c r="N368" s="66"/>
      <c r="O368" s="66"/>
      <c r="P368" s="66"/>
      <c r="Q368" s="66"/>
      <c r="R368" s="66"/>
      <c r="S368" s="66"/>
      <c r="T368" s="66"/>
      <c r="U368" s="67"/>
    </row>
    <row r="369">
      <c r="A369" s="22"/>
      <c r="B369" s="74">
        <v>141.0</v>
      </c>
      <c r="C369" s="62"/>
      <c r="D369" s="22"/>
      <c r="E369" s="127"/>
      <c r="F369" s="62"/>
      <c r="G369" s="62"/>
      <c r="H369" s="62"/>
      <c r="I369" s="62">
        <v>1.0</v>
      </c>
      <c r="J369" s="63" t="s">
        <v>480</v>
      </c>
      <c r="K369" s="64" t="s">
        <v>1001</v>
      </c>
      <c r="L369" s="64" t="s">
        <v>307</v>
      </c>
      <c r="M369" s="66"/>
      <c r="N369" s="66"/>
      <c r="O369" s="66"/>
      <c r="P369" s="66"/>
      <c r="Q369" s="66"/>
      <c r="R369" s="66"/>
      <c r="S369" s="66"/>
      <c r="T369" s="66"/>
      <c r="U369" s="67"/>
    </row>
    <row r="370">
      <c r="A370" s="22"/>
      <c r="B370" s="104">
        <v>141.0</v>
      </c>
      <c r="C370" s="105"/>
      <c r="D370" s="106"/>
      <c r="E370" s="129"/>
      <c r="F370" s="105"/>
      <c r="G370" s="105"/>
      <c r="H370" s="105"/>
      <c r="I370" s="105">
        <v>1.0</v>
      </c>
      <c r="J370" s="107" t="s">
        <v>1002</v>
      </c>
      <c r="K370" s="108" t="s">
        <v>1003</v>
      </c>
      <c r="L370" s="108" t="s">
        <v>307</v>
      </c>
      <c r="M370" s="110"/>
      <c r="N370" s="110"/>
      <c r="O370" s="110"/>
      <c r="P370" s="110"/>
      <c r="Q370" s="110"/>
      <c r="R370" s="110"/>
      <c r="S370" s="110"/>
      <c r="T370" s="110"/>
      <c r="U370" s="111"/>
    </row>
    <row r="371">
      <c r="A371" s="7"/>
      <c r="B371" s="8">
        <v>142.0</v>
      </c>
      <c r="C371" s="14" t="s">
        <v>1004</v>
      </c>
      <c r="D371" s="7" t="s">
        <v>1005</v>
      </c>
      <c r="E371" s="11"/>
      <c r="F371" s="8" t="s">
        <v>1006</v>
      </c>
      <c r="G371" s="8">
        <v>2002.0</v>
      </c>
      <c r="H371" s="8"/>
      <c r="I371" s="8"/>
      <c r="J371" s="84"/>
      <c r="K371" s="16"/>
      <c r="L371" s="13"/>
      <c r="M371" s="15"/>
      <c r="N371" s="15"/>
      <c r="O371" s="15"/>
      <c r="P371" s="15"/>
      <c r="Q371" s="15"/>
      <c r="R371" s="15"/>
      <c r="S371" s="15"/>
      <c r="T371" s="15"/>
      <c r="U371" s="16"/>
    </row>
    <row r="372">
      <c r="A372" s="7"/>
      <c r="B372" s="8">
        <v>143.0</v>
      </c>
      <c r="C372" s="14" t="s">
        <v>1007</v>
      </c>
      <c r="D372" s="7" t="s">
        <v>751</v>
      </c>
      <c r="E372" s="11"/>
      <c r="F372" s="8" t="s">
        <v>1008</v>
      </c>
      <c r="G372" s="8">
        <v>2009.0</v>
      </c>
      <c r="H372" s="8"/>
      <c r="I372" s="8"/>
      <c r="J372" s="84"/>
      <c r="K372" s="16"/>
      <c r="L372" s="13"/>
      <c r="M372" s="15"/>
      <c r="N372" s="15"/>
      <c r="O372" s="15"/>
      <c r="P372" s="15"/>
      <c r="Q372" s="15"/>
      <c r="R372" s="15"/>
      <c r="S372" s="15"/>
      <c r="T372" s="15"/>
      <c r="U372" s="16"/>
    </row>
    <row r="373">
      <c r="A373" s="41">
        <v>1.0</v>
      </c>
      <c r="B373" s="86">
        <v>144.0</v>
      </c>
      <c r="C373" s="87" t="s">
        <v>1009</v>
      </c>
      <c r="D373" s="88" t="s">
        <v>48</v>
      </c>
      <c r="E373" s="88" t="s">
        <v>32</v>
      </c>
      <c r="F373" s="89" t="s">
        <v>1010</v>
      </c>
      <c r="G373" s="89">
        <v>2007.0</v>
      </c>
      <c r="H373" s="89">
        <v>1.0</v>
      </c>
      <c r="I373" s="89">
        <v>1.0</v>
      </c>
      <c r="J373" s="90" t="s">
        <v>199</v>
      </c>
      <c r="K373" s="91" t="s">
        <v>1011</v>
      </c>
      <c r="L373" s="91" t="s">
        <v>1012</v>
      </c>
      <c r="M373" s="202" t="s">
        <v>1013</v>
      </c>
      <c r="N373" s="90" t="s">
        <v>169</v>
      </c>
      <c r="O373" s="92"/>
      <c r="P373" s="90" t="s">
        <v>1014</v>
      </c>
      <c r="Q373" s="92"/>
      <c r="R373" s="92">
        <f>FDIST(3.25,2,85)</f>
        <v>0.04364232157</v>
      </c>
      <c r="S373" s="92">
        <f t="shared" ref="S373:S375" si="56">NORMINV(1-R373/2,0,1)</f>
        <v>2.01750997</v>
      </c>
      <c r="T373" s="203">
        <f t="shared" ref="T373:T375" si="57">NORMDIST(S373,1.96,1,TRUE)</f>
        <v>0.5229305179</v>
      </c>
      <c r="U373" s="93"/>
    </row>
    <row r="374">
      <c r="A374" s="41"/>
      <c r="B374" s="42">
        <v>144.0</v>
      </c>
      <c r="C374" s="43"/>
      <c r="D374" s="41"/>
      <c r="E374" s="94"/>
      <c r="F374" s="43"/>
      <c r="G374" s="43"/>
      <c r="H374" s="43">
        <v>1.0</v>
      </c>
      <c r="I374" s="43">
        <v>1.0</v>
      </c>
      <c r="J374" s="44" t="s">
        <v>206</v>
      </c>
      <c r="K374" s="45" t="s">
        <v>1015</v>
      </c>
      <c r="L374" s="45" t="s">
        <v>1016</v>
      </c>
      <c r="M374" s="44" t="s">
        <v>1017</v>
      </c>
      <c r="N374" s="47"/>
      <c r="O374" s="47"/>
      <c r="P374" s="44" t="s">
        <v>331</v>
      </c>
      <c r="Q374" s="47"/>
      <c r="R374" s="47">
        <f>FDIST(1.39,2,85)</f>
        <v>0.254678534</v>
      </c>
      <c r="S374" s="47">
        <f t="shared" si="56"/>
        <v>1.139059031</v>
      </c>
      <c r="T374" s="47">
        <f t="shared" si="57"/>
        <v>0.2058399466</v>
      </c>
      <c r="U374" s="50"/>
    </row>
    <row r="375">
      <c r="A375" s="41"/>
      <c r="B375" s="42">
        <v>144.0</v>
      </c>
      <c r="C375" s="43"/>
      <c r="D375" s="41"/>
      <c r="E375" s="94"/>
      <c r="F375" s="43"/>
      <c r="G375" s="43"/>
      <c r="H375" s="43">
        <v>1.0</v>
      </c>
      <c r="I375" s="43">
        <v>1.0</v>
      </c>
      <c r="J375" s="44" t="s">
        <v>210</v>
      </c>
      <c r="K375" s="45" t="s">
        <v>1018</v>
      </c>
      <c r="L375" s="45" t="s">
        <v>1019</v>
      </c>
      <c r="M375" s="44" t="s">
        <v>1020</v>
      </c>
      <c r="N375" s="44" t="s">
        <v>169</v>
      </c>
      <c r="O375" s="47"/>
      <c r="P375" s="44" t="s">
        <v>285</v>
      </c>
      <c r="Q375" s="47"/>
      <c r="R375" s="47">
        <f>FDIST(4.01,2,85)</f>
        <v>0.02166756449</v>
      </c>
      <c r="S375" s="47">
        <f t="shared" si="56"/>
        <v>2.296145482</v>
      </c>
      <c r="T375" s="47">
        <f t="shared" si="57"/>
        <v>0.6316194189</v>
      </c>
      <c r="U375" s="50"/>
    </row>
    <row r="376">
      <c r="A376" s="41"/>
      <c r="B376" s="42">
        <v>144.0</v>
      </c>
      <c r="C376" s="43"/>
      <c r="D376" s="41"/>
      <c r="E376" s="94"/>
      <c r="F376" s="43"/>
      <c r="G376" s="43"/>
      <c r="H376" s="43">
        <v>1.0</v>
      </c>
      <c r="I376" s="43">
        <v>1.0</v>
      </c>
      <c r="J376" s="44" t="s">
        <v>218</v>
      </c>
      <c r="K376" s="45" t="s">
        <v>1021</v>
      </c>
      <c r="L376" s="45" t="s">
        <v>1022</v>
      </c>
      <c r="M376" s="47"/>
      <c r="N376" s="44" t="s">
        <v>169</v>
      </c>
      <c r="O376" s="44" t="s">
        <v>1023</v>
      </c>
      <c r="P376" s="47"/>
      <c r="Q376" s="47"/>
      <c r="R376" s="47"/>
      <c r="S376" s="47"/>
      <c r="T376" s="47"/>
      <c r="U376" s="50"/>
    </row>
    <row r="377">
      <c r="A377" s="41"/>
      <c r="B377" s="42">
        <v>144.0</v>
      </c>
      <c r="C377" s="43"/>
      <c r="D377" s="41"/>
      <c r="E377" s="94"/>
      <c r="F377" s="43"/>
      <c r="G377" s="43"/>
      <c r="H377" s="43">
        <v>1.0</v>
      </c>
      <c r="I377" s="43">
        <v>1.0</v>
      </c>
      <c r="J377" s="44" t="s">
        <v>642</v>
      </c>
      <c r="K377" s="45" t="s">
        <v>1024</v>
      </c>
      <c r="L377" s="45" t="s">
        <v>1025</v>
      </c>
      <c r="M377" s="123" t="s">
        <v>1026</v>
      </c>
      <c r="N377" s="123" t="s">
        <v>169</v>
      </c>
      <c r="O377" s="47"/>
      <c r="P377" s="44" t="s">
        <v>1027</v>
      </c>
      <c r="Q377" s="47"/>
      <c r="R377" s="47">
        <f>FDIST(5.51,1,85)</f>
        <v>0.02123228221</v>
      </c>
      <c r="S377" s="47">
        <f t="shared" ref="S377:S378" si="58">NORMINV(1-R377/2,0,1)</f>
        <v>2.303828329</v>
      </c>
      <c r="T377" s="47">
        <f t="shared" ref="T377:T378" si="59">NORMDIST(S377,1.96,1,TRUE)</f>
        <v>0.6345123029</v>
      </c>
      <c r="U377" s="50"/>
    </row>
    <row r="378">
      <c r="A378" s="41"/>
      <c r="B378" s="42">
        <v>144.0</v>
      </c>
      <c r="C378" s="43"/>
      <c r="D378" s="41"/>
      <c r="E378" s="94"/>
      <c r="F378" s="43"/>
      <c r="G378" s="43"/>
      <c r="H378" s="43">
        <v>1.0</v>
      </c>
      <c r="I378" s="43">
        <v>1.0</v>
      </c>
      <c r="J378" s="44" t="s">
        <v>644</v>
      </c>
      <c r="K378" s="45" t="s">
        <v>1028</v>
      </c>
      <c r="L378" s="45" t="s">
        <v>1029</v>
      </c>
      <c r="M378" s="123" t="s">
        <v>1030</v>
      </c>
      <c r="N378" s="123" t="s">
        <v>169</v>
      </c>
      <c r="O378" s="47"/>
      <c r="P378" s="123" t="s">
        <v>1031</v>
      </c>
      <c r="Q378" s="47"/>
      <c r="R378" s="47">
        <f>FDIST(4.35,1,85)</f>
        <v>0.04000738551</v>
      </c>
      <c r="S378" s="47">
        <f t="shared" si="58"/>
        <v>2.053672647</v>
      </c>
      <c r="T378" s="47">
        <f t="shared" si="59"/>
        <v>0.5373154004</v>
      </c>
      <c r="U378" s="50"/>
    </row>
    <row r="379">
      <c r="A379" s="41"/>
      <c r="B379" s="83">
        <v>144.0</v>
      </c>
      <c r="C379" s="75"/>
      <c r="D379" s="76"/>
      <c r="E379" s="95"/>
      <c r="F379" s="75"/>
      <c r="G379" s="75"/>
      <c r="H379" s="75">
        <v>1.0</v>
      </c>
      <c r="I379" s="75">
        <v>1.0</v>
      </c>
      <c r="J379" s="77" t="s">
        <v>1032</v>
      </c>
      <c r="K379" s="78" t="s">
        <v>1033</v>
      </c>
      <c r="L379" s="78" t="s">
        <v>1034</v>
      </c>
      <c r="M379" s="80"/>
      <c r="N379" s="208" t="s">
        <v>169</v>
      </c>
      <c r="O379" s="77" t="s">
        <v>1035</v>
      </c>
      <c r="P379" s="80"/>
      <c r="Q379" s="80"/>
      <c r="R379" s="80"/>
      <c r="S379" s="80"/>
      <c r="T379" s="80"/>
      <c r="U379" s="81"/>
    </row>
    <row r="380">
      <c r="A380" s="7"/>
      <c r="B380" s="8">
        <v>145.0</v>
      </c>
      <c r="C380" s="14" t="s">
        <v>1036</v>
      </c>
      <c r="D380" s="7" t="s">
        <v>1005</v>
      </c>
      <c r="E380" s="11"/>
      <c r="F380" s="8" t="s">
        <v>1037</v>
      </c>
      <c r="G380" s="8">
        <v>2000.0</v>
      </c>
      <c r="H380" s="8"/>
      <c r="I380" s="8"/>
      <c r="J380" s="84"/>
      <c r="K380" s="16"/>
      <c r="L380" s="13"/>
      <c r="M380" s="15"/>
      <c r="N380" s="15"/>
      <c r="O380" s="15"/>
      <c r="P380" s="15"/>
      <c r="Q380" s="15"/>
      <c r="R380" s="15"/>
      <c r="S380" s="15"/>
      <c r="T380" s="15"/>
      <c r="U380" s="16"/>
    </row>
    <row r="381">
      <c r="A381" s="7"/>
      <c r="B381" s="8">
        <v>146.0</v>
      </c>
      <c r="C381" s="14" t="s">
        <v>1038</v>
      </c>
      <c r="D381" s="7" t="s">
        <v>1005</v>
      </c>
      <c r="E381" s="11"/>
      <c r="F381" s="8" t="s">
        <v>1039</v>
      </c>
      <c r="G381" s="8">
        <v>2004.0</v>
      </c>
      <c r="H381" s="8"/>
      <c r="I381" s="8"/>
      <c r="J381" s="84"/>
      <c r="K381" s="16"/>
      <c r="L381" s="13"/>
      <c r="M381" s="15"/>
      <c r="N381" s="15"/>
      <c r="O381" s="15"/>
      <c r="P381" s="15"/>
      <c r="Q381" s="15"/>
      <c r="R381" s="15"/>
      <c r="S381" s="15"/>
      <c r="T381" s="15"/>
      <c r="U381" s="16"/>
    </row>
    <row r="382">
      <c r="A382" s="7"/>
      <c r="B382" s="8">
        <v>147.0</v>
      </c>
      <c r="C382" s="14" t="s">
        <v>1040</v>
      </c>
      <c r="D382" s="11"/>
      <c r="E382" s="7" t="s">
        <v>638</v>
      </c>
      <c r="F382" s="12"/>
      <c r="G382" s="12"/>
      <c r="H382" s="8"/>
      <c r="I382" s="8"/>
      <c r="J382" s="84"/>
      <c r="K382" s="16"/>
      <c r="L382" s="13"/>
      <c r="M382" s="15"/>
      <c r="N382" s="15"/>
      <c r="O382" s="15"/>
      <c r="P382" s="15"/>
      <c r="Q382" s="15"/>
      <c r="R382" s="15"/>
      <c r="S382" s="15"/>
      <c r="T382" s="15"/>
      <c r="U382" s="16"/>
    </row>
    <row r="383">
      <c r="A383" s="7"/>
      <c r="B383" s="8">
        <v>148.0</v>
      </c>
      <c r="C383" s="14" t="s">
        <v>1041</v>
      </c>
      <c r="D383" s="7" t="s">
        <v>936</v>
      </c>
      <c r="E383" s="11"/>
      <c r="F383" s="8" t="s">
        <v>1042</v>
      </c>
      <c r="G383" s="8">
        <v>2011.0</v>
      </c>
      <c r="H383" s="8"/>
      <c r="I383" s="8"/>
      <c r="J383" s="84"/>
      <c r="K383" s="16"/>
      <c r="L383" s="13"/>
      <c r="M383" s="15"/>
      <c r="N383" s="15"/>
      <c r="O383" s="15"/>
      <c r="P383" s="15"/>
      <c r="Q383" s="15"/>
      <c r="R383" s="15"/>
      <c r="S383" s="15"/>
      <c r="T383" s="15"/>
      <c r="U383" s="16"/>
    </row>
    <row r="384">
      <c r="A384" s="7"/>
      <c r="B384" s="8">
        <v>149.0</v>
      </c>
      <c r="C384" s="14" t="s">
        <v>1043</v>
      </c>
      <c r="D384" s="7" t="s">
        <v>1044</v>
      </c>
      <c r="E384" s="11"/>
      <c r="F384" s="8" t="s">
        <v>178</v>
      </c>
      <c r="G384" s="8">
        <v>2018.0</v>
      </c>
      <c r="H384" s="8"/>
      <c r="I384" s="8"/>
      <c r="J384" s="84"/>
      <c r="K384" s="16"/>
      <c r="L384" s="13"/>
      <c r="M384" s="15"/>
      <c r="N384" s="15"/>
      <c r="O384" s="15"/>
      <c r="P384" s="15"/>
      <c r="Q384" s="15"/>
      <c r="R384" s="15"/>
      <c r="S384" s="15"/>
      <c r="T384" s="15"/>
      <c r="U384" s="16"/>
    </row>
    <row r="385">
      <c r="A385" s="7"/>
      <c r="B385" s="8">
        <v>150.0</v>
      </c>
      <c r="C385" s="14" t="s">
        <v>1045</v>
      </c>
      <c r="D385" s="7" t="s">
        <v>929</v>
      </c>
      <c r="E385" s="11"/>
      <c r="F385" s="12"/>
      <c r="G385" s="12"/>
      <c r="H385" s="8"/>
      <c r="I385" s="8"/>
      <c r="J385" s="84"/>
      <c r="K385" s="16"/>
      <c r="L385" s="13"/>
      <c r="M385" s="15"/>
      <c r="N385" s="15"/>
      <c r="O385" s="15"/>
      <c r="P385" s="15"/>
      <c r="Q385" s="15"/>
      <c r="R385" s="15"/>
      <c r="S385" s="15"/>
      <c r="T385" s="15"/>
      <c r="U385" s="16"/>
    </row>
    <row r="386">
      <c r="A386" s="7"/>
      <c r="B386" s="8">
        <v>151.0</v>
      </c>
      <c r="C386" s="14" t="s">
        <v>1046</v>
      </c>
      <c r="D386" s="7" t="s">
        <v>936</v>
      </c>
      <c r="E386" s="11"/>
      <c r="F386" s="8" t="s">
        <v>1047</v>
      </c>
      <c r="G386" s="8">
        <v>2002.0</v>
      </c>
      <c r="H386" s="8"/>
      <c r="I386" s="8"/>
      <c r="J386" s="84"/>
      <c r="K386" s="16"/>
      <c r="L386" s="13"/>
      <c r="M386" s="15"/>
      <c r="N386" s="15"/>
      <c r="O386" s="15"/>
      <c r="P386" s="15"/>
      <c r="Q386" s="15"/>
      <c r="R386" s="15"/>
      <c r="S386" s="15"/>
      <c r="T386" s="15"/>
      <c r="U386" s="16"/>
    </row>
    <row r="387">
      <c r="A387" s="7"/>
      <c r="B387" s="8">
        <v>152.0</v>
      </c>
      <c r="C387" s="14" t="s">
        <v>1048</v>
      </c>
      <c r="D387" s="7" t="s">
        <v>1049</v>
      </c>
      <c r="E387" s="11"/>
      <c r="F387" s="8" t="s">
        <v>1050</v>
      </c>
      <c r="G387" s="8">
        <v>2015.0</v>
      </c>
      <c r="H387" s="8"/>
      <c r="I387" s="8"/>
      <c r="J387" s="84"/>
      <c r="K387" s="16"/>
      <c r="L387" s="13"/>
      <c r="M387" s="15"/>
      <c r="N387" s="15"/>
      <c r="O387" s="15"/>
      <c r="P387" s="15"/>
      <c r="Q387" s="15"/>
      <c r="R387" s="15"/>
      <c r="S387" s="15"/>
      <c r="T387" s="15"/>
      <c r="U387" s="16"/>
    </row>
    <row r="388">
      <c r="A388" s="22"/>
      <c r="B388" s="24">
        <v>153.0</v>
      </c>
      <c r="C388" s="31" t="s">
        <v>1051</v>
      </c>
      <c r="D388" s="33" t="s">
        <v>48</v>
      </c>
      <c r="E388" s="33" t="s">
        <v>32</v>
      </c>
      <c r="F388" s="35" t="s">
        <v>1052</v>
      </c>
      <c r="G388" s="35">
        <v>2007.0</v>
      </c>
      <c r="H388" s="35"/>
      <c r="I388" s="35">
        <v>1.0</v>
      </c>
      <c r="J388" s="36">
        <v>1.0</v>
      </c>
      <c r="K388" s="37" t="s">
        <v>1053</v>
      </c>
      <c r="L388" s="37" t="s">
        <v>1054</v>
      </c>
      <c r="M388" s="39"/>
      <c r="N388" s="39"/>
      <c r="O388" s="39"/>
      <c r="P388" s="39"/>
      <c r="Q388" s="39"/>
      <c r="R388" s="39"/>
      <c r="S388" s="39"/>
      <c r="T388" s="39"/>
      <c r="U388" s="40" t="s">
        <v>1054</v>
      </c>
    </row>
    <row r="389">
      <c r="A389" s="41">
        <v>1.0</v>
      </c>
      <c r="B389" s="42">
        <v>153.0</v>
      </c>
      <c r="C389" s="43"/>
      <c r="D389" s="41"/>
      <c r="E389" s="41"/>
      <c r="F389" s="43"/>
      <c r="G389" s="43"/>
      <c r="H389" s="43">
        <v>1.0</v>
      </c>
      <c r="I389" s="43">
        <v>1.0</v>
      </c>
      <c r="J389" s="44" t="s">
        <v>642</v>
      </c>
      <c r="K389" s="45" t="s">
        <v>1055</v>
      </c>
      <c r="L389" s="45" t="s">
        <v>1056</v>
      </c>
      <c r="M389" s="44" t="s">
        <v>1057</v>
      </c>
      <c r="N389" s="123" t="s">
        <v>128</v>
      </c>
      <c r="O389" s="47"/>
      <c r="P389" s="47"/>
      <c r="Q389" s="47"/>
      <c r="R389" s="47">
        <f>FDIST(97.22,1,86)</f>
        <v>0</v>
      </c>
      <c r="S389" s="47">
        <f t="shared" ref="S389:S394" si="60">NORMINV(1-R389/2,0,1)</f>
        <v>8.041399952</v>
      </c>
      <c r="T389" s="47">
        <f t="shared" ref="T389:T394" si="61">NORMDIST(S389,1.96,1,TRUE)</f>
        <v>0.9999999994</v>
      </c>
      <c r="U389" s="50"/>
    </row>
    <row r="390">
      <c r="A390" s="41"/>
      <c r="B390" s="42">
        <v>153.0</v>
      </c>
      <c r="C390" s="43"/>
      <c r="D390" s="41"/>
      <c r="E390" s="41"/>
      <c r="F390" s="43"/>
      <c r="G390" s="43"/>
      <c r="H390" s="43">
        <v>1.0</v>
      </c>
      <c r="I390" s="43">
        <v>1.0</v>
      </c>
      <c r="J390" s="44" t="s">
        <v>644</v>
      </c>
      <c r="K390" s="45" t="s">
        <v>1058</v>
      </c>
      <c r="L390" s="45" t="s">
        <v>1059</v>
      </c>
      <c r="M390" s="44" t="s">
        <v>1060</v>
      </c>
      <c r="N390" s="44" t="s">
        <v>1061</v>
      </c>
      <c r="O390" s="47"/>
      <c r="P390" s="44" t="s">
        <v>1062</v>
      </c>
      <c r="Q390" s="47"/>
      <c r="R390" s="47">
        <f>FDIST(27.03,1,86)</f>
        <v>0.000001335654106</v>
      </c>
      <c r="S390" s="47">
        <f t="shared" si="60"/>
        <v>4.834373796</v>
      </c>
      <c r="T390" s="47">
        <f t="shared" si="61"/>
        <v>0.9979758524</v>
      </c>
      <c r="U390" s="50"/>
    </row>
    <row r="391">
      <c r="A391" s="41"/>
      <c r="B391" s="42">
        <v>153.0</v>
      </c>
      <c r="C391" s="43"/>
      <c r="D391" s="41"/>
      <c r="E391" s="41"/>
      <c r="F391" s="43"/>
      <c r="G391" s="43"/>
      <c r="H391" s="43">
        <v>1.0</v>
      </c>
      <c r="I391" s="43">
        <v>1.0</v>
      </c>
      <c r="J391" s="44" t="s">
        <v>1032</v>
      </c>
      <c r="K391" s="45" t="s">
        <v>1063</v>
      </c>
      <c r="L391" s="45" t="s">
        <v>1064</v>
      </c>
      <c r="M391" s="44" t="s">
        <v>1065</v>
      </c>
      <c r="N391" s="44" t="s">
        <v>128</v>
      </c>
      <c r="O391" s="47"/>
      <c r="P391" s="44" t="s">
        <v>1066</v>
      </c>
      <c r="Q391" s="47"/>
      <c r="R391" s="47">
        <f>FDIST(15.67,1,242)</f>
        <v>0.00009917310052</v>
      </c>
      <c r="S391" s="47">
        <f t="shared" si="60"/>
        <v>3.892606106</v>
      </c>
      <c r="T391" s="47">
        <f t="shared" si="61"/>
        <v>0.9733576302</v>
      </c>
      <c r="U391" s="50"/>
    </row>
    <row r="392">
      <c r="A392" s="41"/>
      <c r="B392" s="42">
        <v>153.0</v>
      </c>
      <c r="C392" s="43"/>
      <c r="D392" s="41"/>
      <c r="E392" s="41"/>
      <c r="F392" s="43"/>
      <c r="G392" s="43"/>
      <c r="H392" s="43">
        <v>1.0</v>
      </c>
      <c r="I392" s="43">
        <v>1.0</v>
      </c>
      <c r="J392" s="44" t="s">
        <v>53</v>
      </c>
      <c r="K392" s="45" t="s">
        <v>1067</v>
      </c>
      <c r="L392" s="43" t="s">
        <v>1068</v>
      </c>
      <c r="M392" s="44" t="s">
        <v>1069</v>
      </c>
      <c r="N392" s="44" t="s">
        <v>1070</v>
      </c>
      <c r="O392" s="47"/>
      <c r="P392" s="44" t="s">
        <v>1071</v>
      </c>
      <c r="Q392" s="47"/>
      <c r="R392" s="47">
        <f>FDIST(8.86,1,37)</f>
        <v>0.005115057732</v>
      </c>
      <c r="S392" s="47">
        <f t="shared" si="60"/>
        <v>2.799697111</v>
      </c>
      <c r="T392" s="47">
        <f t="shared" si="61"/>
        <v>0.7994608828</v>
      </c>
      <c r="U392" s="50"/>
    </row>
    <row r="393">
      <c r="A393" s="41"/>
      <c r="B393" s="42">
        <v>153.0</v>
      </c>
      <c r="C393" s="43"/>
      <c r="D393" s="41"/>
      <c r="E393" s="41"/>
      <c r="F393" s="43"/>
      <c r="G393" s="43"/>
      <c r="H393" s="43">
        <v>1.0</v>
      </c>
      <c r="I393" s="43">
        <v>1.0</v>
      </c>
      <c r="J393" s="44" t="s">
        <v>65</v>
      </c>
      <c r="K393" s="45" t="s">
        <v>1072</v>
      </c>
      <c r="L393" s="45" t="s">
        <v>1073</v>
      </c>
      <c r="M393" s="44" t="s">
        <v>1074</v>
      </c>
      <c r="N393" s="44" t="s">
        <v>119</v>
      </c>
      <c r="O393" s="47"/>
      <c r="P393" s="47"/>
      <c r="Q393" s="47"/>
      <c r="R393" s="47">
        <f>FDIST(7.61,1,37)</f>
        <v>0.008968637306</v>
      </c>
      <c r="S393" s="47">
        <f t="shared" si="60"/>
        <v>2.61324733</v>
      </c>
      <c r="T393" s="47">
        <f t="shared" si="61"/>
        <v>0.743201579</v>
      </c>
      <c r="U393" s="50"/>
    </row>
    <row r="394">
      <c r="A394" s="41"/>
      <c r="B394" s="83">
        <v>153.0</v>
      </c>
      <c r="C394" s="75"/>
      <c r="D394" s="76"/>
      <c r="E394" s="76"/>
      <c r="F394" s="75"/>
      <c r="G394" s="75"/>
      <c r="H394" s="75">
        <v>1.0</v>
      </c>
      <c r="I394" s="75">
        <v>1.0</v>
      </c>
      <c r="J394" s="77">
        <v>4.0</v>
      </c>
      <c r="K394" s="78" t="s">
        <v>1075</v>
      </c>
      <c r="L394" s="78" t="s">
        <v>1076</v>
      </c>
      <c r="M394" s="77" t="s">
        <v>1077</v>
      </c>
      <c r="N394" s="77" t="s">
        <v>169</v>
      </c>
      <c r="O394" s="80"/>
      <c r="P394" s="80"/>
      <c r="Q394" s="80"/>
      <c r="R394" s="80">
        <f>FDIST(2.3,6,244)</f>
        <v>0.03530952083</v>
      </c>
      <c r="S394" s="80">
        <f t="shared" si="60"/>
        <v>2.104790815</v>
      </c>
      <c r="T394" s="80">
        <f t="shared" si="61"/>
        <v>0.5575619829</v>
      </c>
      <c r="U394" s="81"/>
    </row>
    <row r="395">
      <c r="A395" s="7"/>
      <c r="B395" s="8">
        <v>154.0</v>
      </c>
      <c r="C395" s="14" t="s">
        <v>1078</v>
      </c>
      <c r="D395" s="7" t="s">
        <v>31</v>
      </c>
      <c r="E395" s="7" t="s">
        <v>32</v>
      </c>
      <c r="F395" s="8" t="s">
        <v>1079</v>
      </c>
      <c r="G395" s="8">
        <v>2011.0</v>
      </c>
      <c r="H395" s="8"/>
      <c r="I395" s="8"/>
      <c r="J395" s="84"/>
      <c r="K395" s="16"/>
      <c r="L395" s="13"/>
      <c r="M395" s="15"/>
      <c r="N395" s="15"/>
      <c r="O395" s="15"/>
      <c r="P395" s="15"/>
      <c r="Q395" s="15"/>
      <c r="R395" s="15"/>
      <c r="S395" s="15"/>
      <c r="T395" s="15"/>
      <c r="U395" s="16"/>
    </row>
    <row r="396">
      <c r="A396" s="41">
        <v>1.0</v>
      </c>
      <c r="B396" s="86">
        <v>155.0</v>
      </c>
      <c r="C396" s="87" t="s">
        <v>1080</v>
      </c>
      <c r="D396" s="88" t="s">
        <v>48</v>
      </c>
      <c r="E396" s="88" t="s">
        <v>32</v>
      </c>
      <c r="F396" s="89" t="s">
        <v>1081</v>
      </c>
      <c r="G396" s="89">
        <v>2007.0</v>
      </c>
      <c r="H396" s="89">
        <v>1.0</v>
      </c>
      <c r="I396" s="89">
        <v>1.0</v>
      </c>
      <c r="J396" s="90" t="s">
        <v>199</v>
      </c>
      <c r="K396" s="91" t="s">
        <v>1082</v>
      </c>
      <c r="L396" s="91" t="s">
        <v>1083</v>
      </c>
      <c r="M396" s="90" t="s">
        <v>1084</v>
      </c>
      <c r="N396" s="90" t="s">
        <v>128</v>
      </c>
      <c r="O396" s="92"/>
      <c r="P396" s="90" t="s">
        <v>1085</v>
      </c>
      <c r="Q396" s="92"/>
      <c r="R396" s="92">
        <f>FDIST(2707.57,1,548)</f>
        <v>0</v>
      </c>
      <c r="S396" s="92" t="str">
        <f>NORMINV(1-R396/2,0,1)</f>
        <v>#NUM!</v>
      </c>
      <c r="T396" s="92" t="str">
        <f>NORMDIST(S396,1.96,1,TRUE)</f>
        <v>#NUM!</v>
      </c>
      <c r="U396" s="93"/>
    </row>
    <row r="397">
      <c r="A397" s="22"/>
      <c r="B397" s="74">
        <v>155.0</v>
      </c>
      <c r="C397" s="62"/>
      <c r="D397" s="22"/>
      <c r="E397" s="22"/>
      <c r="F397" s="62"/>
      <c r="G397" s="62"/>
      <c r="H397" s="62"/>
      <c r="I397" s="62">
        <v>1.0</v>
      </c>
      <c r="J397" s="63" t="s">
        <v>206</v>
      </c>
      <c r="K397" s="64" t="s">
        <v>1086</v>
      </c>
      <c r="L397" s="64" t="s">
        <v>1087</v>
      </c>
      <c r="M397" s="66"/>
      <c r="N397" s="66"/>
      <c r="O397" s="66"/>
      <c r="P397" s="66"/>
      <c r="Q397" s="66"/>
      <c r="R397" s="66"/>
      <c r="S397" s="66"/>
      <c r="T397" s="66"/>
      <c r="U397" s="67"/>
    </row>
    <row r="398">
      <c r="A398" s="22"/>
      <c r="B398" s="74">
        <v>155.0</v>
      </c>
      <c r="C398" s="62"/>
      <c r="D398" s="22"/>
      <c r="E398" s="22"/>
      <c r="F398" s="62"/>
      <c r="G398" s="62"/>
      <c r="H398" s="62"/>
      <c r="I398" s="62">
        <v>2.0</v>
      </c>
      <c r="J398" s="63">
        <v>2.0</v>
      </c>
      <c r="K398" s="64" t="s">
        <v>1088</v>
      </c>
      <c r="L398" s="64" t="s">
        <v>1089</v>
      </c>
      <c r="M398" s="66"/>
      <c r="N398" s="66"/>
      <c r="O398" s="66"/>
      <c r="P398" s="66"/>
      <c r="Q398" s="66"/>
      <c r="R398" s="66"/>
      <c r="S398" s="66"/>
      <c r="T398" s="66"/>
      <c r="U398" s="67"/>
    </row>
    <row r="399">
      <c r="A399" s="22"/>
      <c r="B399" s="104">
        <v>155.0</v>
      </c>
      <c r="C399" s="105"/>
      <c r="D399" s="106"/>
      <c r="E399" s="106"/>
      <c r="F399" s="105"/>
      <c r="G399" s="105"/>
      <c r="H399" s="105"/>
      <c r="I399" s="105">
        <v>3.0</v>
      </c>
      <c r="J399" s="107">
        <v>3.0</v>
      </c>
      <c r="K399" s="108" t="s">
        <v>1090</v>
      </c>
      <c r="L399" s="108" t="s">
        <v>1091</v>
      </c>
      <c r="M399" s="107" t="s">
        <v>1092</v>
      </c>
      <c r="N399" s="107" t="s">
        <v>428</v>
      </c>
      <c r="O399" s="110"/>
      <c r="P399" s="209" t="s">
        <v>1093</v>
      </c>
      <c r="Q399" s="110"/>
      <c r="R399" s="110">
        <f>FDIST(0.8,2,948)</f>
        <v>0.4496320699</v>
      </c>
      <c r="S399" s="110"/>
      <c r="T399" s="110"/>
      <c r="U399" s="111"/>
    </row>
    <row r="400">
      <c r="A400" s="7"/>
      <c r="B400" s="8"/>
      <c r="C400" s="8"/>
      <c r="D400" s="7"/>
      <c r="E400" s="7"/>
      <c r="F400" s="8"/>
      <c r="G400" s="8"/>
      <c r="H400" s="8"/>
      <c r="I400" s="8"/>
      <c r="J400" s="84"/>
      <c r="K400" s="16"/>
      <c r="L400" s="13"/>
      <c r="M400" s="15"/>
      <c r="N400" s="15"/>
      <c r="O400" s="15"/>
      <c r="P400" s="15"/>
      <c r="Q400" s="15"/>
      <c r="R400" s="15"/>
      <c r="S400" s="15"/>
      <c r="T400" s="15"/>
      <c r="U400" s="16"/>
    </row>
    <row r="401">
      <c r="A401" s="68">
        <v>1.0</v>
      </c>
      <c r="B401" s="210">
        <v>156.0</v>
      </c>
      <c r="C401" s="211" t="s">
        <v>1094</v>
      </c>
      <c r="D401" s="212" t="s">
        <v>48</v>
      </c>
      <c r="E401" s="212" t="s">
        <v>32</v>
      </c>
      <c r="F401" s="213" t="s">
        <v>1095</v>
      </c>
      <c r="G401" s="213">
        <v>2006.0</v>
      </c>
      <c r="H401" s="213">
        <v>1.0</v>
      </c>
      <c r="I401" s="213">
        <v>1.0</v>
      </c>
      <c r="J401" s="214">
        <v>3.0</v>
      </c>
      <c r="K401" s="215" t="s">
        <v>1096</v>
      </c>
      <c r="L401" s="215" t="s">
        <v>1097</v>
      </c>
      <c r="M401" s="214" t="s">
        <v>1098</v>
      </c>
      <c r="N401" s="214" t="s">
        <v>119</v>
      </c>
      <c r="O401" s="216"/>
      <c r="P401" s="214"/>
      <c r="Q401" s="216"/>
      <c r="R401" s="216">
        <f>FDIST(5.05,7,80)</f>
        <v>0.00008896870596</v>
      </c>
      <c r="S401" s="216">
        <f t="shared" ref="S401:S402" si="62">NORMINV(1-R401/2,0,1)</f>
        <v>3.918860173</v>
      </c>
      <c r="T401" s="216">
        <f t="shared" ref="T401:T402" si="63">NORMDIST(S401,1.96,1,TRUE)</f>
        <v>0.9749354178</v>
      </c>
      <c r="U401" s="217"/>
    </row>
    <row r="402">
      <c r="A402" s="41"/>
      <c r="B402" s="83">
        <v>156.0</v>
      </c>
      <c r="C402" s="75"/>
      <c r="D402" s="76"/>
      <c r="E402" s="76"/>
      <c r="F402" s="75"/>
      <c r="G402" s="75"/>
      <c r="H402" s="75"/>
      <c r="I402" s="75">
        <v>1.0</v>
      </c>
      <c r="J402" s="77">
        <v>2.0</v>
      </c>
      <c r="K402" s="78" t="s">
        <v>1099</v>
      </c>
      <c r="L402" s="78" t="s">
        <v>1100</v>
      </c>
      <c r="M402" s="77" t="s">
        <v>1101</v>
      </c>
      <c r="N402" s="77" t="s">
        <v>128</v>
      </c>
      <c r="O402" s="80"/>
      <c r="P402" s="77" t="s">
        <v>1102</v>
      </c>
      <c r="Q402" s="80"/>
      <c r="R402" s="80">
        <f>FDIST(7.25,4,83)</f>
        <v>0.0000466730006</v>
      </c>
      <c r="S402" s="80">
        <f t="shared" si="62"/>
        <v>4.071691338</v>
      </c>
      <c r="T402" s="80">
        <f t="shared" si="63"/>
        <v>0.9826435338</v>
      </c>
      <c r="U402" s="81"/>
    </row>
    <row r="403">
      <c r="A403" s="7"/>
      <c r="B403" s="8">
        <v>157.0</v>
      </c>
      <c r="C403" s="14" t="s">
        <v>1103</v>
      </c>
      <c r="D403" s="7" t="s">
        <v>936</v>
      </c>
      <c r="E403" s="11"/>
      <c r="F403" s="8" t="s">
        <v>1104</v>
      </c>
      <c r="G403" s="8">
        <v>2004.0</v>
      </c>
      <c r="H403" s="8"/>
      <c r="I403" s="8"/>
      <c r="J403" s="84"/>
      <c r="K403" s="16"/>
      <c r="L403" s="13"/>
      <c r="M403" s="15"/>
      <c r="N403" s="15"/>
      <c r="O403" s="15"/>
      <c r="P403" s="15"/>
      <c r="Q403" s="15"/>
      <c r="R403" s="15"/>
      <c r="S403" s="15"/>
      <c r="T403" s="15"/>
      <c r="U403" s="16"/>
    </row>
    <row r="404">
      <c r="A404" s="7"/>
      <c r="B404" s="8">
        <v>158.0</v>
      </c>
      <c r="C404" s="14" t="s">
        <v>1105</v>
      </c>
      <c r="D404" s="7" t="s">
        <v>45</v>
      </c>
      <c r="E404" s="11"/>
      <c r="F404" s="8" t="s">
        <v>1106</v>
      </c>
      <c r="G404" s="8">
        <v>2012.0</v>
      </c>
      <c r="H404" s="8"/>
      <c r="I404" s="8"/>
      <c r="J404" s="84"/>
      <c r="K404" s="16"/>
      <c r="L404" s="13"/>
      <c r="M404" s="15"/>
      <c r="N404" s="15"/>
      <c r="O404" s="15"/>
      <c r="P404" s="15"/>
      <c r="Q404" s="15"/>
      <c r="R404" s="15"/>
      <c r="S404" s="15"/>
      <c r="T404" s="15"/>
      <c r="U404" s="16"/>
    </row>
    <row r="405">
      <c r="A405" s="22"/>
      <c r="B405" s="24">
        <v>159.0</v>
      </c>
      <c r="C405" s="31" t="s">
        <v>1107</v>
      </c>
      <c r="D405" s="33" t="s">
        <v>48</v>
      </c>
      <c r="E405" s="33" t="s">
        <v>32</v>
      </c>
      <c r="F405" s="35" t="s">
        <v>1108</v>
      </c>
      <c r="G405" s="35">
        <v>2002.0</v>
      </c>
      <c r="H405" s="35"/>
      <c r="I405" s="35">
        <v>1.0</v>
      </c>
      <c r="J405" s="36">
        <v>1.0</v>
      </c>
      <c r="K405" s="37" t="s">
        <v>1109</v>
      </c>
      <c r="L405" s="38"/>
      <c r="M405" s="39"/>
      <c r="N405" s="39"/>
      <c r="O405" s="39"/>
      <c r="P405" s="39"/>
      <c r="Q405" s="39"/>
      <c r="R405" s="39"/>
      <c r="S405" s="39"/>
      <c r="T405" s="39"/>
      <c r="U405" s="40"/>
    </row>
    <row r="406">
      <c r="A406" s="22"/>
      <c r="B406" s="74">
        <v>159.0</v>
      </c>
      <c r="C406" s="62"/>
      <c r="D406" s="22"/>
      <c r="E406" s="22"/>
      <c r="F406" s="62"/>
      <c r="G406" s="62"/>
      <c r="H406" s="62"/>
      <c r="I406" s="62">
        <v>1.0</v>
      </c>
      <c r="J406" s="63">
        <v>2.0</v>
      </c>
      <c r="K406" s="64" t="s">
        <v>1110</v>
      </c>
      <c r="L406" s="65"/>
      <c r="M406" s="66"/>
      <c r="N406" s="66"/>
      <c r="O406" s="66"/>
      <c r="P406" s="66"/>
      <c r="Q406" s="66"/>
      <c r="R406" s="66"/>
      <c r="S406" s="66"/>
      <c r="T406" s="66"/>
      <c r="U406" s="67"/>
    </row>
    <row r="407">
      <c r="A407" s="22"/>
      <c r="B407" s="74">
        <v>159.0</v>
      </c>
      <c r="C407" s="62"/>
      <c r="D407" s="22"/>
      <c r="E407" s="22"/>
      <c r="F407" s="62"/>
      <c r="G407" s="62"/>
      <c r="H407" s="62"/>
      <c r="I407" s="62">
        <v>1.0</v>
      </c>
      <c r="J407" s="63">
        <v>3.0</v>
      </c>
      <c r="K407" s="64" t="s">
        <v>1111</v>
      </c>
      <c r="L407" s="65"/>
      <c r="M407" s="66"/>
      <c r="N407" s="66"/>
      <c r="O407" s="66"/>
      <c r="P407" s="66"/>
      <c r="Q407" s="66"/>
      <c r="R407" s="66"/>
      <c r="S407" s="66"/>
      <c r="T407" s="66"/>
      <c r="U407" s="67"/>
    </row>
    <row r="408">
      <c r="A408" s="41">
        <v>1.0</v>
      </c>
      <c r="B408" s="42">
        <v>159.0</v>
      </c>
      <c r="C408" s="43"/>
      <c r="D408" s="41"/>
      <c r="E408" s="41"/>
      <c r="F408" s="43"/>
      <c r="G408" s="43"/>
      <c r="H408" s="43">
        <v>1.0</v>
      </c>
      <c r="I408" s="43">
        <v>1.0</v>
      </c>
      <c r="J408" s="44" t="s">
        <v>130</v>
      </c>
      <c r="K408" s="45" t="s">
        <v>1112</v>
      </c>
      <c r="L408" s="45" t="s">
        <v>1113</v>
      </c>
      <c r="M408" s="44" t="s">
        <v>1114</v>
      </c>
      <c r="N408" s="44" t="s">
        <v>1115</v>
      </c>
      <c r="O408" s="47"/>
      <c r="P408" s="44" t="s">
        <v>1116</v>
      </c>
      <c r="Q408" s="47"/>
      <c r="R408" s="47">
        <f>FDIST(5.24,1,167)</f>
        <v>0.02332566995</v>
      </c>
      <c r="S408" s="47">
        <f t="shared" ref="S408:S411" si="64">NORMINV(1-R408/2,0,1)</f>
        <v>2.26805803</v>
      </c>
      <c r="T408" s="47">
        <f t="shared" ref="T408:T411" si="65">NORMDIST(S408,1.96,1,TRUE)</f>
        <v>0.6209809118</v>
      </c>
      <c r="U408" s="50"/>
    </row>
    <row r="409">
      <c r="A409" s="41"/>
      <c r="B409" s="42">
        <v>159.0</v>
      </c>
      <c r="C409" s="43"/>
      <c r="D409" s="41"/>
      <c r="E409" s="41"/>
      <c r="F409" s="43"/>
      <c r="G409" s="43"/>
      <c r="H409" s="43">
        <v>1.0</v>
      </c>
      <c r="I409" s="43">
        <v>1.0</v>
      </c>
      <c r="J409" s="44" t="s">
        <v>134</v>
      </c>
      <c r="K409" s="45" t="s">
        <v>1117</v>
      </c>
      <c r="L409" s="45" t="s">
        <v>1118</v>
      </c>
      <c r="M409" s="44" t="s">
        <v>1119</v>
      </c>
      <c r="N409" s="44" t="s">
        <v>169</v>
      </c>
      <c r="O409" s="47"/>
      <c r="P409" s="44" t="s">
        <v>1120</v>
      </c>
      <c r="Q409" s="47"/>
      <c r="R409" s="47">
        <f>FDIST(3.69,1,167)</f>
        <v>0.05644310794</v>
      </c>
      <c r="S409" s="47">
        <f t="shared" si="64"/>
        <v>1.907598663</v>
      </c>
      <c r="T409" s="47">
        <f t="shared" si="65"/>
        <v>0.4791044544</v>
      </c>
      <c r="U409" s="50"/>
    </row>
    <row r="410">
      <c r="A410" s="41"/>
      <c r="B410" s="42">
        <v>159.0</v>
      </c>
      <c r="C410" s="43"/>
      <c r="D410" s="41"/>
      <c r="E410" s="41"/>
      <c r="F410" s="43"/>
      <c r="G410" s="43"/>
      <c r="H410" s="43">
        <v>1.0</v>
      </c>
      <c r="I410" s="43">
        <v>1.0</v>
      </c>
      <c r="J410" s="44" t="s">
        <v>1121</v>
      </c>
      <c r="K410" s="45" t="s">
        <v>1122</v>
      </c>
      <c r="L410" s="45" t="s">
        <v>1123</v>
      </c>
      <c r="M410" s="44" t="s">
        <v>1124</v>
      </c>
      <c r="N410" s="96" t="s">
        <v>119</v>
      </c>
      <c r="O410" s="47"/>
      <c r="P410" s="44" t="s">
        <v>1125</v>
      </c>
      <c r="Q410" s="47"/>
      <c r="R410" s="47">
        <f>FDIST(9.46,1,167)</f>
        <v>0.002454256879</v>
      </c>
      <c r="S410" s="47">
        <f t="shared" si="64"/>
        <v>3.028924895</v>
      </c>
      <c r="T410" s="47">
        <f t="shared" si="65"/>
        <v>0.8574482433</v>
      </c>
      <c r="U410" s="50"/>
    </row>
    <row r="411">
      <c r="A411" s="41"/>
      <c r="B411" s="83">
        <v>159.0</v>
      </c>
      <c r="C411" s="75"/>
      <c r="D411" s="76"/>
      <c r="E411" s="76"/>
      <c r="F411" s="75"/>
      <c r="G411" s="75"/>
      <c r="H411" s="75">
        <v>1.0</v>
      </c>
      <c r="I411" s="75">
        <v>1.0</v>
      </c>
      <c r="J411" s="77" t="s">
        <v>1126</v>
      </c>
      <c r="K411" s="78" t="s">
        <v>1127</v>
      </c>
      <c r="L411" s="78" t="s">
        <v>1128</v>
      </c>
      <c r="M411" s="77" t="s">
        <v>1129</v>
      </c>
      <c r="N411" s="77" t="s">
        <v>1130</v>
      </c>
      <c r="O411" s="80"/>
      <c r="P411" s="77" t="s">
        <v>1131</v>
      </c>
      <c r="Q411" s="80"/>
      <c r="R411" s="80">
        <f>FDIST(0.51,1,167)</f>
        <v>0.4761358176</v>
      </c>
      <c r="S411" s="80">
        <f t="shared" si="64"/>
        <v>0.7125313299</v>
      </c>
      <c r="T411" s="80">
        <f t="shared" si="65"/>
        <v>0.1061128505</v>
      </c>
      <c r="U411" s="81"/>
    </row>
    <row r="412">
      <c r="A412" s="7"/>
      <c r="B412" s="8"/>
      <c r="C412" s="8"/>
      <c r="D412" s="7"/>
      <c r="E412" s="7"/>
      <c r="F412" s="8"/>
      <c r="G412" s="8"/>
      <c r="H412" s="8"/>
      <c r="I412" s="8"/>
      <c r="J412" s="84"/>
      <c r="K412" s="16"/>
      <c r="L412" s="13"/>
      <c r="M412" s="15"/>
      <c r="N412" s="15"/>
      <c r="O412" s="15"/>
      <c r="P412" s="15"/>
      <c r="Q412" s="15"/>
      <c r="R412" s="15"/>
      <c r="S412" s="15"/>
      <c r="T412" s="15"/>
      <c r="U412" s="16"/>
    </row>
    <row r="413">
      <c r="A413" s="41">
        <v>1.0</v>
      </c>
      <c r="B413" s="89">
        <v>160.0</v>
      </c>
      <c r="C413" s="87" t="s">
        <v>1132</v>
      </c>
      <c r="D413" s="88" t="s">
        <v>48</v>
      </c>
      <c r="E413" s="88" t="s">
        <v>32</v>
      </c>
      <c r="F413" s="89" t="s">
        <v>1133</v>
      </c>
      <c r="G413" s="89">
        <v>2008.0</v>
      </c>
      <c r="H413" s="89"/>
      <c r="I413" s="89">
        <v>1.0</v>
      </c>
      <c r="J413" s="90">
        <v>1.0</v>
      </c>
      <c r="K413" s="91" t="s">
        <v>1134</v>
      </c>
      <c r="L413" s="91" t="s">
        <v>1135</v>
      </c>
      <c r="M413" s="90" t="s">
        <v>1136</v>
      </c>
      <c r="N413" s="90" t="s">
        <v>128</v>
      </c>
      <c r="O413" s="92"/>
      <c r="P413" s="90" t="s">
        <v>1137</v>
      </c>
      <c r="Q413" s="92"/>
      <c r="R413" s="92">
        <f>FDIST(8.51,6,127)</f>
        <v>0.00000008991185452</v>
      </c>
      <c r="S413" s="92">
        <f t="shared" ref="S413:S414" si="66">NORMINV(1-R413/2,0,1)</f>
        <v>5.346014815</v>
      </c>
      <c r="T413" s="92">
        <f t="shared" ref="T413:T414" si="67">NORMDIST(S413,1.96,1,TRUE)</f>
        <v>0.9996454222</v>
      </c>
      <c r="U413" s="93"/>
    </row>
    <row r="414">
      <c r="A414" s="41"/>
      <c r="B414" s="43">
        <v>160.0</v>
      </c>
      <c r="C414" s="43"/>
      <c r="D414" s="41"/>
      <c r="E414" s="41"/>
      <c r="F414" s="43"/>
      <c r="G414" s="43"/>
      <c r="H414" s="43"/>
      <c r="I414" s="43">
        <v>1.0</v>
      </c>
      <c r="J414" s="44">
        <v>2.0</v>
      </c>
      <c r="K414" s="45" t="s">
        <v>1138</v>
      </c>
      <c r="L414" s="45" t="s">
        <v>1139</v>
      </c>
      <c r="M414" s="44" t="s">
        <v>1140</v>
      </c>
      <c r="N414" s="44" t="s">
        <v>128</v>
      </c>
      <c r="O414" s="47"/>
      <c r="P414" s="44" t="s">
        <v>1141</v>
      </c>
      <c r="Q414" s="47"/>
      <c r="R414" s="47">
        <f>FDIST(27,7,126)</f>
        <v>0</v>
      </c>
      <c r="S414" s="47" t="str">
        <f t="shared" si="66"/>
        <v>#NUM!</v>
      </c>
      <c r="T414" s="47" t="str">
        <f t="shared" si="67"/>
        <v>#NUM!</v>
      </c>
      <c r="U414" s="50"/>
    </row>
    <row r="415">
      <c r="A415" s="22"/>
      <c r="B415" s="62">
        <v>160.0</v>
      </c>
      <c r="C415" s="62"/>
      <c r="D415" s="22"/>
      <c r="E415" s="22"/>
      <c r="F415" s="62"/>
      <c r="G415" s="62"/>
      <c r="H415" s="62"/>
      <c r="I415" s="62">
        <v>1.0</v>
      </c>
      <c r="J415" s="63">
        <v>3.0</v>
      </c>
      <c r="K415" s="64" t="s">
        <v>1142</v>
      </c>
      <c r="L415" s="64" t="s">
        <v>1143</v>
      </c>
      <c r="M415" s="63" t="s">
        <v>1144</v>
      </c>
      <c r="N415" s="66"/>
      <c r="O415" s="66"/>
      <c r="P415" s="66"/>
      <c r="Q415" s="66"/>
      <c r="R415" s="66"/>
      <c r="S415" s="66"/>
      <c r="T415" s="66"/>
      <c r="U415" s="67"/>
    </row>
    <row r="416">
      <c r="A416" s="68"/>
      <c r="B416" s="139">
        <v>160.0</v>
      </c>
      <c r="C416" s="139"/>
      <c r="D416" s="140"/>
      <c r="E416" s="140"/>
      <c r="F416" s="139"/>
      <c r="G416" s="139"/>
      <c r="H416" s="139">
        <v>1.0</v>
      </c>
      <c r="I416" s="139">
        <v>1.0</v>
      </c>
      <c r="J416" s="141">
        <v>4.0</v>
      </c>
      <c r="K416" s="142" t="s">
        <v>1145</v>
      </c>
      <c r="L416" s="142" t="s">
        <v>1146</v>
      </c>
      <c r="M416" s="141" t="s">
        <v>1147</v>
      </c>
      <c r="N416" s="141" t="s">
        <v>128</v>
      </c>
      <c r="O416" s="143"/>
      <c r="P416" s="143"/>
      <c r="Q416" s="143"/>
      <c r="R416" s="143">
        <f>FDIST(4.01,9,124)</f>
        <v>0.0001602275332</v>
      </c>
      <c r="S416" s="143">
        <f>NORMINV(1-R416/2,0,1)</f>
        <v>3.77465768</v>
      </c>
      <c r="T416" s="143">
        <f>NORMDIST(S416,1.96,1,TRUE)</f>
        <v>0.9652117338</v>
      </c>
      <c r="U416" s="144"/>
    </row>
    <row r="417">
      <c r="A417" s="7"/>
      <c r="B417" s="8">
        <v>161.0</v>
      </c>
      <c r="C417" s="14" t="s">
        <v>1148</v>
      </c>
      <c r="D417" s="7"/>
      <c r="E417" s="22" t="s">
        <v>768</v>
      </c>
      <c r="F417" s="8" t="s">
        <v>1149</v>
      </c>
      <c r="G417" s="8">
        <v>2017.0</v>
      </c>
      <c r="H417" s="8"/>
      <c r="I417" s="8"/>
      <c r="J417" s="84"/>
      <c r="K417" s="16"/>
      <c r="L417" s="13"/>
      <c r="M417" s="15"/>
      <c r="N417" s="15"/>
      <c r="O417" s="15"/>
      <c r="P417" s="15"/>
      <c r="Q417" s="15"/>
      <c r="R417" s="15"/>
      <c r="S417" s="15"/>
      <c r="T417" s="15"/>
      <c r="U417" s="16"/>
    </row>
    <row r="418">
      <c r="A418" s="7"/>
      <c r="B418" s="8">
        <v>162.0</v>
      </c>
      <c r="C418" s="14" t="s">
        <v>1150</v>
      </c>
      <c r="D418" s="7" t="s">
        <v>1151</v>
      </c>
      <c r="E418" s="11"/>
      <c r="F418" s="8" t="s">
        <v>1152</v>
      </c>
      <c r="G418" s="8">
        <v>2005.0</v>
      </c>
      <c r="H418" s="8"/>
      <c r="I418" s="8"/>
      <c r="J418" s="84"/>
      <c r="K418" s="16"/>
      <c r="L418" s="13"/>
      <c r="M418" s="15"/>
      <c r="N418" s="15"/>
      <c r="O418" s="15"/>
      <c r="P418" s="15"/>
      <c r="Q418" s="15"/>
      <c r="R418" s="15"/>
      <c r="S418" s="15"/>
      <c r="T418" s="15"/>
      <c r="U418" s="16"/>
    </row>
    <row r="419">
      <c r="A419" s="7"/>
      <c r="B419" s="8">
        <v>163.0</v>
      </c>
      <c r="C419" s="14" t="s">
        <v>1153</v>
      </c>
      <c r="D419" s="7" t="s">
        <v>1154</v>
      </c>
      <c r="E419" s="11"/>
      <c r="F419" s="8" t="s">
        <v>1155</v>
      </c>
      <c r="G419" s="8">
        <v>2004.0</v>
      </c>
      <c r="H419" s="8"/>
      <c r="I419" s="8"/>
      <c r="J419" s="84"/>
      <c r="K419" s="16"/>
      <c r="L419" s="13"/>
      <c r="M419" s="15"/>
      <c r="N419" s="15"/>
      <c r="O419" s="15"/>
      <c r="P419" s="15"/>
      <c r="Q419" s="15"/>
      <c r="R419" s="15"/>
      <c r="S419" s="15"/>
      <c r="T419" s="15"/>
      <c r="U419" s="16"/>
    </row>
    <row r="420">
      <c r="A420" s="7"/>
      <c r="B420" s="8">
        <v>164.0</v>
      </c>
      <c r="C420" s="14" t="s">
        <v>1156</v>
      </c>
      <c r="D420" s="7" t="s">
        <v>1154</v>
      </c>
      <c r="E420" s="11"/>
      <c r="F420" s="8" t="s">
        <v>1157</v>
      </c>
      <c r="G420" s="8">
        <v>2006.0</v>
      </c>
      <c r="H420" s="8"/>
      <c r="I420" s="8"/>
      <c r="J420" s="84"/>
      <c r="K420" s="16"/>
      <c r="L420" s="13"/>
      <c r="M420" s="15"/>
      <c r="N420" s="15"/>
      <c r="O420" s="15"/>
      <c r="P420" s="15"/>
      <c r="Q420" s="15"/>
      <c r="R420" s="15"/>
      <c r="S420" s="15"/>
      <c r="T420" s="15"/>
      <c r="U420" s="16"/>
    </row>
    <row r="421">
      <c r="A421" s="7"/>
      <c r="B421" s="8">
        <v>165.0</v>
      </c>
      <c r="C421" s="14" t="s">
        <v>1158</v>
      </c>
      <c r="D421" s="7" t="s">
        <v>698</v>
      </c>
      <c r="E421" s="11"/>
      <c r="F421" s="8" t="s">
        <v>1159</v>
      </c>
      <c r="G421" s="8">
        <v>2008.0</v>
      </c>
      <c r="H421" s="8"/>
      <c r="I421" s="8"/>
      <c r="J421" s="84"/>
      <c r="K421" s="16"/>
      <c r="L421" s="13"/>
      <c r="M421" s="15"/>
      <c r="N421" s="15"/>
      <c r="O421" s="15"/>
      <c r="P421" s="15"/>
      <c r="Q421" s="15"/>
      <c r="R421" s="15"/>
      <c r="S421" s="15"/>
      <c r="T421" s="15"/>
      <c r="U421" s="16"/>
    </row>
    <row r="422">
      <c r="A422" s="7"/>
      <c r="B422" s="8">
        <v>166.0</v>
      </c>
      <c r="C422" s="14" t="s">
        <v>1160</v>
      </c>
      <c r="D422" s="7" t="s">
        <v>45</v>
      </c>
      <c r="E422" s="11"/>
      <c r="F422" s="8" t="s">
        <v>1161</v>
      </c>
      <c r="G422" s="8">
        <v>2012.0</v>
      </c>
      <c r="H422" s="8"/>
      <c r="I422" s="8"/>
      <c r="J422" s="84"/>
      <c r="K422" s="16"/>
      <c r="L422" s="13"/>
      <c r="M422" s="15"/>
      <c r="N422" s="15"/>
      <c r="O422" s="15"/>
      <c r="P422" s="15"/>
      <c r="Q422" s="15"/>
      <c r="R422" s="15"/>
      <c r="S422" s="15"/>
      <c r="T422" s="15"/>
      <c r="U422" s="16"/>
    </row>
    <row r="423">
      <c r="A423" s="41">
        <v>1.0</v>
      </c>
      <c r="B423" s="86">
        <v>167.0</v>
      </c>
      <c r="C423" s="87" t="s">
        <v>1162</v>
      </c>
      <c r="D423" s="88" t="s">
        <v>48</v>
      </c>
      <c r="E423" s="88" t="s">
        <v>32</v>
      </c>
      <c r="F423" s="89" t="s">
        <v>1163</v>
      </c>
      <c r="G423" s="89">
        <v>2010.0</v>
      </c>
      <c r="H423" s="89">
        <v>1.0</v>
      </c>
      <c r="I423" s="89">
        <v>1.0</v>
      </c>
      <c r="J423" s="90">
        <v>1.0</v>
      </c>
      <c r="K423" s="91" t="s">
        <v>1164</v>
      </c>
      <c r="L423" s="91" t="s">
        <v>1165</v>
      </c>
      <c r="M423" s="90" t="s">
        <v>1166</v>
      </c>
      <c r="N423" s="90" t="s">
        <v>239</v>
      </c>
      <c r="O423" s="218"/>
      <c r="P423" s="90" t="s">
        <v>1120</v>
      </c>
      <c r="Q423" s="92"/>
      <c r="R423" s="92">
        <f>FDIST(3.96,1,293)</f>
        <v>0.04752288097</v>
      </c>
      <c r="S423" s="92">
        <f t="shared" ref="S423:S429" si="68">NORMINV(1-R423/2,0,1)</f>
        <v>1.981610235</v>
      </c>
      <c r="T423" s="92">
        <f t="shared" ref="T423:T429" si="69">NORMDIST(S423,1.96,1,TRUE)</f>
        <v>0.5086205654</v>
      </c>
      <c r="U423" s="93"/>
    </row>
    <row r="424">
      <c r="A424" s="41"/>
      <c r="B424" s="42">
        <v>167.0</v>
      </c>
      <c r="C424" s="43"/>
      <c r="D424" s="41"/>
      <c r="E424" s="41"/>
      <c r="F424" s="43"/>
      <c r="G424" s="43"/>
      <c r="H424" s="43">
        <v>1.0</v>
      </c>
      <c r="I424" s="43">
        <v>1.0</v>
      </c>
      <c r="J424" s="44">
        <v>2.0</v>
      </c>
      <c r="K424" s="45" t="s">
        <v>1167</v>
      </c>
      <c r="L424" s="45" t="s">
        <v>1168</v>
      </c>
      <c r="M424" s="44" t="s">
        <v>1169</v>
      </c>
      <c r="N424" s="44" t="s">
        <v>214</v>
      </c>
      <c r="O424" s="47"/>
      <c r="P424" s="44" t="s">
        <v>1170</v>
      </c>
      <c r="Q424" s="47"/>
      <c r="R424" s="47">
        <f>FDIST(7.62,1,293)</f>
        <v>0.006136417334</v>
      </c>
      <c r="S424" s="47">
        <f t="shared" si="68"/>
        <v>2.740401496</v>
      </c>
      <c r="T424" s="47">
        <f t="shared" si="69"/>
        <v>0.7824227062</v>
      </c>
      <c r="U424" s="50"/>
    </row>
    <row r="425">
      <c r="A425" s="41"/>
      <c r="B425" s="42">
        <v>167.0</v>
      </c>
      <c r="C425" s="43"/>
      <c r="D425" s="41"/>
      <c r="E425" s="41"/>
      <c r="F425" s="43"/>
      <c r="G425" s="43"/>
      <c r="H425" s="43">
        <v>1.0</v>
      </c>
      <c r="I425" s="43">
        <v>1.0</v>
      </c>
      <c r="J425" s="44">
        <v>3.0</v>
      </c>
      <c r="K425" s="45" t="s">
        <v>1171</v>
      </c>
      <c r="L425" s="45" t="s">
        <v>1172</v>
      </c>
      <c r="M425" s="44" t="s">
        <v>1173</v>
      </c>
      <c r="N425" s="44" t="s">
        <v>1174</v>
      </c>
      <c r="O425" s="47"/>
      <c r="P425" s="44" t="s">
        <v>1120</v>
      </c>
      <c r="Q425" s="47"/>
      <c r="R425" s="47">
        <f>FDIST(2.65,1,293)</f>
        <v>0.1046246873</v>
      </c>
      <c r="S425" s="47">
        <f t="shared" si="68"/>
        <v>1.622834972</v>
      </c>
      <c r="T425" s="47">
        <f t="shared" si="69"/>
        <v>0.3679962493</v>
      </c>
      <c r="U425" s="50"/>
    </row>
    <row r="426">
      <c r="A426" s="41"/>
      <c r="B426" s="42">
        <v>167.0</v>
      </c>
      <c r="C426" s="43"/>
      <c r="D426" s="41"/>
      <c r="E426" s="41"/>
      <c r="F426" s="43"/>
      <c r="G426" s="43"/>
      <c r="H426" s="43">
        <v>1.0</v>
      </c>
      <c r="I426" s="43">
        <v>1.0</v>
      </c>
      <c r="J426" s="44">
        <v>4.0</v>
      </c>
      <c r="K426" s="45" t="s">
        <v>1175</v>
      </c>
      <c r="L426" s="45" t="s">
        <v>1176</v>
      </c>
      <c r="M426" s="44" t="s">
        <v>1177</v>
      </c>
      <c r="N426" s="44" t="s">
        <v>1178</v>
      </c>
      <c r="O426" s="47"/>
      <c r="P426" s="47"/>
      <c r="Q426" s="47"/>
      <c r="R426" s="47">
        <f>FDIST(0.02,1,300)</f>
        <v>0.8876320016</v>
      </c>
      <c r="S426" s="47">
        <f t="shared" si="68"/>
        <v>0.1413012001</v>
      </c>
      <c r="T426" s="47">
        <f t="shared" si="69"/>
        <v>0.03447869746</v>
      </c>
      <c r="U426" s="50"/>
    </row>
    <row r="427">
      <c r="A427" s="41"/>
      <c r="B427" s="42">
        <v>167.0</v>
      </c>
      <c r="C427" s="43"/>
      <c r="D427" s="41"/>
      <c r="E427" s="41"/>
      <c r="F427" s="43"/>
      <c r="G427" s="43"/>
      <c r="H427" s="43">
        <v>1.0</v>
      </c>
      <c r="I427" s="43">
        <v>1.0</v>
      </c>
      <c r="J427" s="44">
        <v>5.0</v>
      </c>
      <c r="K427" s="45" t="s">
        <v>1179</v>
      </c>
      <c r="L427" s="59"/>
      <c r="M427" s="44" t="s">
        <v>1180</v>
      </c>
      <c r="N427" s="44" t="s">
        <v>1181</v>
      </c>
      <c r="O427" s="47"/>
      <c r="P427" s="47"/>
      <c r="Q427" s="47"/>
      <c r="R427" s="47">
        <f>FDIST(0.21,1,300)</f>
        <v>0.6470991734</v>
      </c>
      <c r="S427" s="47">
        <f t="shared" si="68"/>
        <v>0.4577957726</v>
      </c>
      <c r="T427" s="47">
        <f t="shared" si="69"/>
        <v>0.0665221867</v>
      </c>
      <c r="U427" s="50"/>
    </row>
    <row r="428">
      <c r="A428" s="41"/>
      <c r="B428" s="42">
        <v>167.0</v>
      </c>
      <c r="C428" s="43"/>
      <c r="D428" s="41"/>
      <c r="E428" s="41"/>
      <c r="F428" s="43"/>
      <c r="G428" s="43"/>
      <c r="H428" s="43">
        <v>1.0</v>
      </c>
      <c r="I428" s="43">
        <v>1.0</v>
      </c>
      <c r="J428" s="44">
        <v>6.0</v>
      </c>
      <c r="K428" s="45" t="s">
        <v>1182</v>
      </c>
      <c r="L428" s="59"/>
      <c r="M428" s="44" t="s">
        <v>1183</v>
      </c>
      <c r="N428" s="44" t="s">
        <v>1184</v>
      </c>
      <c r="O428" s="47"/>
      <c r="P428" s="47"/>
      <c r="Q428" s="47"/>
      <c r="R428" s="47">
        <f>FDIST(0.04,1,300)</f>
        <v>0.8416160842</v>
      </c>
      <c r="S428" s="47">
        <f t="shared" si="68"/>
        <v>0.1998267441</v>
      </c>
      <c r="T428" s="47">
        <f t="shared" si="69"/>
        <v>0.03918921753</v>
      </c>
      <c r="U428" s="50"/>
    </row>
    <row r="429">
      <c r="A429" s="41"/>
      <c r="B429" s="83">
        <v>167.0</v>
      </c>
      <c r="C429" s="75"/>
      <c r="D429" s="76"/>
      <c r="E429" s="76"/>
      <c r="F429" s="75"/>
      <c r="G429" s="75"/>
      <c r="H429" s="75">
        <v>1.0</v>
      </c>
      <c r="I429" s="75">
        <v>1.0</v>
      </c>
      <c r="J429" s="77">
        <v>7.0</v>
      </c>
      <c r="K429" s="78" t="s">
        <v>1185</v>
      </c>
      <c r="L429" s="79"/>
      <c r="M429" s="77" t="s">
        <v>1186</v>
      </c>
      <c r="N429" s="77" t="s">
        <v>1187</v>
      </c>
      <c r="O429" s="80"/>
      <c r="P429" s="80"/>
      <c r="Q429" s="80"/>
      <c r="R429" s="80">
        <f>FDIST(0.35,1,300)</f>
        <v>0.5545586628</v>
      </c>
      <c r="S429" s="80">
        <f t="shared" si="68"/>
        <v>0.5909429267</v>
      </c>
      <c r="T429" s="80">
        <f t="shared" si="69"/>
        <v>0.08549071761</v>
      </c>
      <c r="U429" s="81"/>
    </row>
    <row r="430">
      <c r="A430" s="7"/>
      <c r="B430" s="8"/>
      <c r="C430" s="8"/>
      <c r="D430" s="7"/>
      <c r="E430" s="7"/>
      <c r="F430" s="8"/>
      <c r="G430" s="8"/>
      <c r="H430" s="8"/>
      <c r="I430" s="8"/>
      <c r="J430" s="84"/>
      <c r="K430" s="16"/>
      <c r="L430" s="13"/>
      <c r="M430" s="15"/>
      <c r="N430" s="15"/>
      <c r="O430" s="15"/>
      <c r="P430" s="15"/>
      <c r="Q430" s="15"/>
      <c r="R430" s="15"/>
      <c r="S430" s="15"/>
      <c r="T430" s="15"/>
      <c r="U430" s="16"/>
    </row>
    <row r="431">
      <c r="A431" s="7"/>
      <c r="B431" s="8">
        <v>168.0</v>
      </c>
      <c r="C431" s="14" t="s">
        <v>1188</v>
      </c>
      <c r="D431" s="7" t="s">
        <v>48</v>
      </c>
      <c r="E431" s="7" t="s">
        <v>32</v>
      </c>
      <c r="F431" s="8" t="s">
        <v>1189</v>
      </c>
      <c r="G431" s="8">
        <v>2003.0</v>
      </c>
      <c r="H431" s="8"/>
      <c r="I431" s="8"/>
      <c r="J431" s="84"/>
      <c r="K431" s="16"/>
      <c r="L431" s="13"/>
      <c r="M431" s="15"/>
      <c r="N431" s="15"/>
      <c r="O431" s="15"/>
      <c r="P431" s="15"/>
      <c r="Q431" s="15"/>
      <c r="R431" s="15"/>
      <c r="S431" s="15"/>
      <c r="T431" s="15"/>
      <c r="U431" s="16"/>
    </row>
    <row r="432">
      <c r="A432" s="41">
        <v>1.0</v>
      </c>
      <c r="B432" s="86">
        <v>169.0</v>
      </c>
      <c r="C432" s="87" t="s">
        <v>1190</v>
      </c>
      <c r="D432" s="88" t="s">
        <v>48</v>
      </c>
      <c r="E432" s="88" t="s">
        <v>32</v>
      </c>
      <c r="F432" s="89" t="s">
        <v>1191</v>
      </c>
      <c r="G432" s="89">
        <v>2001.0</v>
      </c>
      <c r="H432" s="89">
        <v>1.0</v>
      </c>
      <c r="I432" s="89">
        <v>1.0</v>
      </c>
      <c r="J432" s="90">
        <v>1.0</v>
      </c>
      <c r="K432" s="91" t="s">
        <v>1192</v>
      </c>
      <c r="L432" s="91" t="s">
        <v>1193</v>
      </c>
      <c r="M432" s="90" t="s">
        <v>1194</v>
      </c>
      <c r="N432" s="90" t="s">
        <v>169</v>
      </c>
      <c r="O432" s="92"/>
      <c r="P432" s="92"/>
      <c r="Q432" s="92"/>
      <c r="R432" s="92">
        <f>TDIST(2.28,52,2)</f>
        <v>0.02673810271</v>
      </c>
      <c r="S432" s="92">
        <f t="shared" ref="S432:S433" si="70">NORMINV(1-R432/2,0,1)</f>
        <v>2.215320076</v>
      </c>
      <c r="T432" s="92">
        <f t="shared" ref="T432:T433" si="71">NORMDIST(S432,1.96,1,TRUE)</f>
        <v>0.6007620524</v>
      </c>
      <c r="U432" s="93"/>
    </row>
    <row r="433">
      <c r="A433" s="41">
        <v>1.0</v>
      </c>
      <c r="B433" s="83">
        <v>169.0</v>
      </c>
      <c r="C433" s="75"/>
      <c r="D433" s="76"/>
      <c r="E433" s="95"/>
      <c r="F433" s="75"/>
      <c r="G433" s="75"/>
      <c r="H433" s="75">
        <v>2.0</v>
      </c>
      <c r="I433" s="75">
        <v>2.0</v>
      </c>
      <c r="J433" s="77">
        <v>2.0</v>
      </c>
      <c r="K433" s="78" t="s">
        <v>1195</v>
      </c>
      <c r="L433" s="78" t="s">
        <v>1196</v>
      </c>
      <c r="M433" s="77" t="s">
        <v>1197</v>
      </c>
      <c r="N433" s="77" t="s">
        <v>275</v>
      </c>
      <c r="O433" s="80"/>
      <c r="P433" s="80"/>
      <c r="Q433" s="80"/>
      <c r="R433" s="80">
        <f>TDIST(0.1,47,2)</f>
        <v>0.9207696665</v>
      </c>
      <c r="S433" s="80">
        <f t="shared" si="70"/>
        <v>0.09946425637</v>
      </c>
      <c r="T433" s="80">
        <f t="shared" si="71"/>
        <v>0.03140488314</v>
      </c>
      <c r="U433" s="81"/>
    </row>
    <row r="434">
      <c r="A434" s="7"/>
      <c r="B434" s="8">
        <v>170.0</v>
      </c>
      <c r="C434" s="14" t="s">
        <v>1198</v>
      </c>
      <c r="D434" s="7" t="s">
        <v>45</v>
      </c>
      <c r="E434" s="11"/>
      <c r="F434" s="8" t="s">
        <v>1199</v>
      </c>
      <c r="G434" s="8">
        <v>2002.0</v>
      </c>
      <c r="H434" s="8"/>
      <c r="I434" s="8"/>
      <c r="J434" s="84"/>
      <c r="K434" s="16"/>
      <c r="L434" s="13"/>
      <c r="M434" s="15"/>
      <c r="N434" s="15"/>
      <c r="O434" s="15"/>
      <c r="P434" s="15"/>
      <c r="Q434" s="15"/>
      <c r="R434" s="15"/>
      <c r="S434" s="15"/>
      <c r="T434" s="15"/>
      <c r="U434" s="16"/>
    </row>
    <row r="435">
      <c r="A435" s="7"/>
      <c r="B435" s="8">
        <v>171.0</v>
      </c>
      <c r="C435" s="14" t="s">
        <v>1200</v>
      </c>
      <c r="D435" s="7" t="s">
        <v>241</v>
      </c>
      <c r="E435" s="11"/>
      <c r="F435" s="8" t="s">
        <v>1201</v>
      </c>
      <c r="G435" s="8">
        <v>2017.0</v>
      </c>
      <c r="H435" s="8"/>
      <c r="I435" s="8"/>
      <c r="J435" s="84"/>
      <c r="K435" s="16"/>
      <c r="L435" s="13"/>
      <c r="M435" s="15"/>
      <c r="N435" s="15"/>
      <c r="O435" s="15"/>
      <c r="P435" s="15"/>
      <c r="Q435" s="15"/>
      <c r="R435" s="15"/>
      <c r="S435" s="15"/>
      <c r="T435" s="15"/>
      <c r="U435" s="16"/>
    </row>
    <row r="436">
      <c r="A436" s="7"/>
      <c r="B436" s="8">
        <v>172.0</v>
      </c>
      <c r="C436" s="14" t="s">
        <v>1202</v>
      </c>
      <c r="D436" s="7" t="s">
        <v>1154</v>
      </c>
      <c r="E436" s="11"/>
      <c r="F436" s="8" t="s">
        <v>1203</v>
      </c>
      <c r="G436" s="8">
        <v>2004.0</v>
      </c>
      <c r="H436" s="8"/>
      <c r="I436" s="8"/>
      <c r="J436" s="84"/>
      <c r="K436" s="16"/>
      <c r="L436" s="13"/>
      <c r="M436" s="15"/>
      <c r="N436" s="15"/>
      <c r="O436" s="15"/>
      <c r="P436" s="15"/>
      <c r="Q436" s="15"/>
      <c r="R436" s="15"/>
      <c r="S436" s="15"/>
      <c r="T436" s="15"/>
      <c r="U436" s="16"/>
    </row>
    <row r="437">
      <c r="A437" s="7"/>
      <c r="B437" s="8">
        <v>173.0</v>
      </c>
      <c r="C437" s="14" t="s">
        <v>1204</v>
      </c>
      <c r="D437" s="7" t="s">
        <v>1205</v>
      </c>
      <c r="E437" s="11"/>
      <c r="F437" s="8" t="s">
        <v>1206</v>
      </c>
      <c r="G437" s="8">
        <v>2004.0</v>
      </c>
      <c r="H437" s="8"/>
      <c r="I437" s="8"/>
      <c r="J437" s="84"/>
      <c r="K437" s="16"/>
      <c r="L437" s="13"/>
      <c r="M437" s="15"/>
      <c r="N437" s="15"/>
      <c r="O437" s="15"/>
      <c r="P437" s="15"/>
      <c r="Q437" s="15"/>
      <c r="R437" s="15"/>
      <c r="S437" s="15"/>
      <c r="T437" s="15"/>
      <c r="U437" s="16"/>
    </row>
    <row r="438">
      <c r="A438" s="7"/>
      <c r="B438" s="8">
        <v>174.0</v>
      </c>
      <c r="C438" s="14" t="s">
        <v>1207</v>
      </c>
      <c r="D438" s="7" t="s">
        <v>1044</v>
      </c>
      <c r="E438" s="11"/>
      <c r="F438" s="132" t="s">
        <v>1208</v>
      </c>
      <c r="G438" s="8">
        <v>2009.0</v>
      </c>
      <c r="H438" s="8"/>
      <c r="I438" s="8"/>
      <c r="J438" s="84"/>
      <c r="K438" s="16"/>
      <c r="L438" s="13"/>
      <c r="M438" s="15"/>
      <c r="N438" s="15"/>
      <c r="O438" s="15"/>
      <c r="P438" s="15"/>
      <c r="Q438" s="15"/>
      <c r="R438" s="15"/>
      <c r="S438" s="15"/>
      <c r="T438" s="15"/>
      <c r="U438" s="16"/>
    </row>
    <row r="439">
      <c r="A439" s="7"/>
      <c r="B439" s="8">
        <v>175.0</v>
      </c>
      <c r="C439" s="14" t="s">
        <v>1209</v>
      </c>
      <c r="D439" s="7" t="s">
        <v>45</v>
      </c>
      <c r="E439" s="11"/>
      <c r="F439" s="8" t="s">
        <v>1210</v>
      </c>
      <c r="G439" s="8">
        <v>2001.0</v>
      </c>
      <c r="H439" s="8"/>
      <c r="I439" s="8"/>
      <c r="J439" s="84"/>
      <c r="K439" s="16"/>
      <c r="L439" s="13"/>
      <c r="M439" s="15"/>
      <c r="N439" s="15"/>
      <c r="O439" s="15"/>
      <c r="P439" s="15"/>
      <c r="Q439" s="15"/>
      <c r="R439" s="15"/>
      <c r="S439" s="15"/>
      <c r="T439" s="15"/>
      <c r="U439" s="16"/>
    </row>
    <row r="440">
      <c r="A440" s="7"/>
      <c r="B440" s="8">
        <v>176.0</v>
      </c>
      <c r="C440" s="14" t="s">
        <v>1211</v>
      </c>
      <c r="D440" s="7" t="s">
        <v>22</v>
      </c>
      <c r="E440" s="11"/>
      <c r="F440" s="8" t="s">
        <v>1212</v>
      </c>
      <c r="G440" s="8">
        <v>2002.0</v>
      </c>
      <c r="H440" s="8"/>
      <c r="I440" s="8"/>
      <c r="J440" s="84"/>
      <c r="K440" s="16"/>
      <c r="L440" s="13"/>
      <c r="M440" s="15"/>
      <c r="N440" s="15"/>
      <c r="O440" s="15"/>
      <c r="P440" s="15"/>
      <c r="Q440" s="15"/>
      <c r="R440" s="15"/>
      <c r="S440" s="15"/>
      <c r="T440" s="15"/>
      <c r="U440" s="16"/>
    </row>
    <row r="441">
      <c r="A441" s="7"/>
      <c r="B441" s="8">
        <v>177.0</v>
      </c>
      <c r="C441" s="14" t="s">
        <v>1213</v>
      </c>
      <c r="D441" s="7" t="s">
        <v>45</v>
      </c>
      <c r="E441" s="11"/>
      <c r="F441" s="8" t="s">
        <v>1214</v>
      </c>
      <c r="G441" s="8">
        <v>2011.0</v>
      </c>
      <c r="H441" s="8"/>
      <c r="I441" s="8"/>
      <c r="J441" s="84"/>
      <c r="K441" s="16"/>
      <c r="L441" s="13"/>
      <c r="M441" s="15"/>
      <c r="N441" s="15"/>
      <c r="O441" s="15"/>
      <c r="P441" s="15"/>
      <c r="Q441" s="15"/>
      <c r="R441" s="15"/>
      <c r="S441" s="15"/>
      <c r="T441" s="15"/>
      <c r="U441" s="16"/>
    </row>
    <row r="442">
      <c r="A442" s="7"/>
      <c r="B442" s="8">
        <v>178.0</v>
      </c>
      <c r="C442" s="14" t="s">
        <v>1215</v>
      </c>
      <c r="D442" s="7" t="s">
        <v>45</v>
      </c>
      <c r="E442" s="11"/>
      <c r="F442" s="8" t="s">
        <v>1216</v>
      </c>
      <c r="G442" s="8">
        <v>2017.0</v>
      </c>
      <c r="H442" s="8"/>
      <c r="I442" s="8"/>
      <c r="J442" s="84"/>
      <c r="K442" s="16"/>
      <c r="L442" s="13"/>
      <c r="M442" s="15"/>
      <c r="N442" s="15"/>
      <c r="O442" s="15"/>
      <c r="P442" s="15"/>
      <c r="Q442" s="15"/>
      <c r="R442" s="15"/>
      <c r="S442" s="15"/>
      <c r="T442" s="15"/>
      <c r="U442" s="16"/>
    </row>
    <row r="443">
      <c r="A443" s="7"/>
      <c r="B443" s="8">
        <v>179.0</v>
      </c>
      <c r="C443" s="14" t="s">
        <v>1217</v>
      </c>
      <c r="D443" s="7" t="s">
        <v>1218</v>
      </c>
      <c r="E443" s="11"/>
      <c r="F443" s="8" t="s">
        <v>1219</v>
      </c>
      <c r="G443" s="8">
        <v>2003.0</v>
      </c>
      <c r="H443" s="8"/>
      <c r="I443" s="8"/>
      <c r="J443" s="84"/>
      <c r="K443" s="16"/>
      <c r="L443" s="13"/>
      <c r="M443" s="15"/>
      <c r="N443" s="15"/>
      <c r="O443" s="15"/>
      <c r="P443" s="15"/>
      <c r="Q443" s="15"/>
      <c r="R443" s="15"/>
      <c r="S443" s="15"/>
      <c r="T443" s="15"/>
      <c r="U443" s="16"/>
    </row>
    <row r="444">
      <c r="A444" s="7"/>
      <c r="B444" s="8">
        <v>180.0</v>
      </c>
      <c r="C444" s="14" t="s">
        <v>1220</v>
      </c>
      <c r="D444" s="7" t="s">
        <v>1154</v>
      </c>
      <c r="E444" s="11"/>
      <c r="F444" s="8" t="s">
        <v>1221</v>
      </c>
      <c r="G444" s="8">
        <v>2008.0</v>
      </c>
      <c r="H444" s="8"/>
      <c r="I444" s="8"/>
      <c r="J444" s="84"/>
      <c r="K444" s="16"/>
      <c r="L444" s="13"/>
      <c r="M444" s="15"/>
      <c r="N444" s="15"/>
      <c r="O444" s="15"/>
      <c r="P444" s="15"/>
      <c r="Q444" s="15"/>
      <c r="R444" s="15"/>
      <c r="S444" s="15"/>
      <c r="T444" s="15"/>
      <c r="U444" s="16"/>
    </row>
    <row r="445">
      <c r="A445" s="7"/>
      <c r="B445" s="8">
        <v>181.0</v>
      </c>
      <c r="C445" s="14" t="s">
        <v>1222</v>
      </c>
      <c r="D445" s="7" t="s">
        <v>1218</v>
      </c>
      <c r="E445" s="11"/>
      <c r="F445" s="8" t="s">
        <v>1223</v>
      </c>
      <c r="G445" s="8">
        <v>2013.0</v>
      </c>
      <c r="H445" s="8"/>
      <c r="I445" s="8"/>
      <c r="J445" s="84"/>
      <c r="K445" s="16"/>
      <c r="L445" s="13"/>
      <c r="M445" s="15"/>
      <c r="N445" s="15"/>
      <c r="O445" s="15"/>
      <c r="P445" s="15"/>
      <c r="Q445" s="15"/>
      <c r="R445" s="15"/>
      <c r="S445" s="15"/>
      <c r="T445" s="15"/>
      <c r="U445" s="16"/>
    </row>
    <row r="446">
      <c r="A446" s="7"/>
      <c r="B446" s="8">
        <v>182.0</v>
      </c>
      <c r="C446" s="14" t="s">
        <v>1224</v>
      </c>
      <c r="D446" s="11"/>
      <c r="E446" s="22" t="s">
        <v>1225</v>
      </c>
      <c r="F446" s="12"/>
      <c r="G446" s="12"/>
      <c r="H446" s="8"/>
      <c r="I446" s="8"/>
      <c r="J446" s="84"/>
      <c r="K446" s="16"/>
      <c r="L446" s="13"/>
      <c r="M446" s="15"/>
      <c r="N446" s="15"/>
      <c r="O446" s="15"/>
      <c r="P446" s="15"/>
      <c r="Q446" s="15"/>
      <c r="R446" s="15"/>
      <c r="S446" s="15"/>
      <c r="T446" s="15"/>
      <c r="U446" s="16"/>
    </row>
    <row r="447">
      <c r="A447" s="7"/>
      <c r="B447" s="8">
        <v>183.0</v>
      </c>
      <c r="C447" s="14" t="s">
        <v>1226</v>
      </c>
      <c r="D447" s="7" t="s">
        <v>1005</v>
      </c>
      <c r="E447" s="11"/>
      <c r="F447" s="8" t="s">
        <v>1227</v>
      </c>
      <c r="G447" s="8">
        <v>2000.0</v>
      </c>
      <c r="H447" s="8"/>
      <c r="I447" s="8"/>
      <c r="J447" s="84"/>
      <c r="K447" s="16"/>
      <c r="L447" s="13"/>
      <c r="M447" s="15"/>
      <c r="N447" s="15"/>
      <c r="O447" s="15"/>
      <c r="P447" s="15"/>
      <c r="Q447" s="15"/>
      <c r="R447" s="15"/>
      <c r="S447" s="15"/>
      <c r="T447" s="15"/>
      <c r="U447" s="16"/>
    </row>
    <row r="448">
      <c r="A448" s="7"/>
      <c r="B448" s="8">
        <v>184.0</v>
      </c>
      <c r="C448" s="14" t="s">
        <v>1228</v>
      </c>
      <c r="D448" s="7" t="s">
        <v>1218</v>
      </c>
      <c r="E448" s="11"/>
      <c r="F448" s="8" t="s">
        <v>1229</v>
      </c>
      <c r="G448" s="8">
        <v>2003.0</v>
      </c>
      <c r="H448" s="8"/>
      <c r="I448" s="8"/>
      <c r="J448" s="84"/>
      <c r="K448" s="16"/>
      <c r="L448" s="13"/>
      <c r="M448" s="15"/>
      <c r="N448" s="15"/>
      <c r="O448" s="15"/>
      <c r="P448" s="15"/>
      <c r="Q448" s="15"/>
      <c r="R448" s="15"/>
      <c r="S448" s="15"/>
      <c r="T448" s="15"/>
      <c r="U448" s="16"/>
    </row>
    <row r="449">
      <c r="A449" s="7"/>
      <c r="B449" s="8">
        <v>185.0</v>
      </c>
      <c r="C449" s="14" t="s">
        <v>1230</v>
      </c>
      <c r="D449" s="7" t="s">
        <v>45</v>
      </c>
      <c r="E449" s="11"/>
      <c r="F449" s="8" t="s">
        <v>813</v>
      </c>
      <c r="G449" s="8">
        <v>2011.0</v>
      </c>
      <c r="H449" s="8"/>
      <c r="I449" s="8"/>
      <c r="J449" s="84"/>
      <c r="K449" s="16"/>
      <c r="L449" s="13"/>
      <c r="M449" s="15"/>
      <c r="N449" s="15"/>
      <c r="O449" s="15"/>
      <c r="P449" s="15"/>
      <c r="Q449" s="15"/>
      <c r="R449" s="15"/>
      <c r="S449" s="15"/>
      <c r="T449" s="15"/>
      <c r="U449" s="16"/>
    </row>
    <row r="450">
      <c r="A450" s="7"/>
      <c r="B450" s="8">
        <v>186.0</v>
      </c>
      <c r="C450" s="14" t="s">
        <v>1231</v>
      </c>
      <c r="D450" s="7" t="s">
        <v>1218</v>
      </c>
      <c r="E450" s="11"/>
      <c r="F450" s="8" t="s">
        <v>1229</v>
      </c>
      <c r="G450" s="8">
        <v>2003.0</v>
      </c>
      <c r="H450" s="8"/>
      <c r="I450" s="8"/>
      <c r="J450" s="84"/>
      <c r="K450" s="16"/>
      <c r="L450" s="13"/>
      <c r="M450" s="15"/>
      <c r="N450" s="15"/>
      <c r="O450" s="15"/>
      <c r="P450" s="15"/>
      <c r="Q450" s="15"/>
      <c r="R450" s="15"/>
      <c r="S450" s="15"/>
      <c r="T450" s="15"/>
      <c r="U450" s="16"/>
    </row>
    <row r="451">
      <c r="A451" s="7"/>
      <c r="B451" s="8">
        <v>187.0</v>
      </c>
      <c r="C451" s="14" t="s">
        <v>1232</v>
      </c>
      <c r="D451" s="7" t="s">
        <v>31</v>
      </c>
      <c r="E451" s="11"/>
      <c r="F451" s="8" t="s">
        <v>1133</v>
      </c>
      <c r="G451" s="8">
        <v>2009.0</v>
      </c>
      <c r="H451" s="8"/>
      <c r="I451" s="8"/>
      <c r="J451" s="84"/>
      <c r="K451" s="16"/>
      <c r="L451" s="13"/>
      <c r="M451" s="15"/>
      <c r="N451" s="15"/>
      <c r="O451" s="15"/>
      <c r="P451" s="15"/>
      <c r="Q451" s="15"/>
      <c r="R451" s="15"/>
      <c r="S451" s="15"/>
      <c r="T451" s="15"/>
      <c r="U451" s="16"/>
    </row>
    <row r="452">
      <c r="A452" s="7"/>
      <c r="B452" s="8">
        <v>188.0</v>
      </c>
      <c r="C452" s="14" t="s">
        <v>1233</v>
      </c>
      <c r="D452" s="7" t="s">
        <v>1005</v>
      </c>
      <c r="E452" s="11"/>
      <c r="F452" s="8" t="s">
        <v>1234</v>
      </c>
      <c r="G452" s="8">
        <v>2006.0</v>
      </c>
      <c r="H452" s="8"/>
      <c r="I452" s="8"/>
      <c r="J452" s="84"/>
      <c r="K452" s="16"/>
      <c r="L452" s="13"/>
      <c r="M452" s="15"/>
      <c r="N452" s="15"/>
      <c r="O452" s="15"/>
      <c r="P452" s="15"/>
      <c r="Q452" s="15"/>
      <c r="R452" s="15"/>
      <c r="S452" s="15"/>
      <c r="T452" s="15"/>
      <c r="U452" s="16"/>
    </row>
    <row r="453">
      <c r="A453" s="7"/>
      <c r="B453" s="8">
        <v>189.0</v>
      </c>
      <c r="C453" s="14" t="s">
        <v>1235</v>
      </c>
      <c r="D453" s="22" t="s">
        <v>48</v>
      </c>
      <c r="E453" s="22" t="s">
        <v>768</v>
      </c>
      <c r="F453" s="8" t="s">
        <v>1236</v>
      </c>
      <c r="G453" s="8">
        <v>2018.0</v>
      </c>
      <c r="H453" s="8"/>
      <c r="I453" s="8"/>
      <c r="J453" s="84"/>
      <c r="K453" s="16"/>
      <c r="L453" s="13"/>
      <c r="M453" s="15"/>
      <c r="N453" s="15"/>
      <c r="O453" s="15"/>
      <c r="P453" s="15"/>
      <c r="Q453" s="15"/>
      <c r="R453" s="15"/>
      <c r="S453" s="15"/>
      <c r="T453" s="15"/>
      <c r="U453" s="16"/>
    </row>
    <row r="454">
      <c r="A454" s="41">
        <v>1.0</v>
      </c>
      <c r="B454" s="86">
        <v>190.0</v>
      </c>
      <c r="C454" s="87" t="s">
        <v>1237</v>
      </c>
      <c r="D454" s="88" t="s">
        <v>48</v>
      </c>
      <c r="E454" s="219"/>
      <c r="F454" s="89" t="s">
        <v>1238</v>
      </c>
      <c r="G454" s="89">
        <v>2004.0</v>
      </c>
      <c r="H454" s="89"/>
      <c r="I454" s="89">
        <v>1.0</v>
      </c>
      <c r="J454" s="90">
        <v>1.0</v>
      </c>
      <c r="K454" s="91" t="s">
        <v>1239</v>
      </c>
      <c r="L454" s="91" t="s">
        <v>1240</v>
      </c>
      <c r="M454" s="90" t="s">
        <v>1241</v>
      </c>
      <c r="N454" s="90" t="s">
        <v>1242</v>
      </c>
      <c r="O454" s="92"/>
      <c r="P454" s="92"/>
      <c r="Q454" s="92"/>
      <c r="R454" s="92">
        <f>FDIST(5.9,1,301)</f>
        <v>0.01572614577</v>
      </c>
      <c r="S454" s="205">
        <f t="shared" ref="S454:S461" si="72">NORMINV(1-R454/2,0,1)</f>
        <v>2.415209866</v>
      </c>
      <c r="T454" s="92">
        <f t="shared" ref="T454:T461" si="73">NORMDIST(S454,1.96,1,TRUE)</f>
        <v>0.6755208682</v>
      </c>
      <c r="U454" s="93"/>
    </row>
    <row r="455">
      <c r="A455" s="41"/>
      <c r="B455" s="42">
        <v>190.0</v>
      </c>
      <c r="C455" s="43"/>
      <c r="D455" s="41"/>
      <c r="E455" s="94"/>
      <c r="F455" s="43"/>
      <c r="G455" s="43"/>
      <c r="H455" s="43"/>
      <c r="I455" s="43">
        <v>1.0</v>
      </c>
      <c r="J455" s="44"/>
      <c r="K455" s="45"/>
      <c r="L455" s="59"/>
      <c r="M455" s="44" t="s">
        <v>1243</v>
      </c>
      <c r="N455" s="44" t="s">
        <v>1242</v>
      </c>
      <c r="O455" s="47"/>
      <c r="P455" s="47"/>
      <c r="Q455" s="47"/>
      <c r="R455" s="47">
        <f>FDIST(6.92,1,301)</f>
        <v>0.008962325124</v>
      </c>
      <c r="S455" s="47">
        <f t="shared" si="72"/>
        <v>2.613487925</v>
      </c>
      <c r="T455" s="47">
        <f t="shared" si="73"/>
        <v>0.7432791144</v>
      </c>
      <c r="U455" s="50"/>
    </row>
    <row r="456">
      <c r="A456" s="41"/>
      <c r="B456" s="42">
        <v>190.0</v>
      </c>
      <c r="C456" s="43"/>
      <c r="D456" s="41"/>
      <c r="E456" s="94"/>
      <c r="F456" s="43"/>
      <c r="G456" s="43"/>
      <c r="H456" s="43"/>
      <c r="I456" s="43">
        <v>1.0</v>
      </c>
      <c r="J456" s="44">
        <v>2.0</v>
      </c>
      <c r="K456" s="45" t="s">
        <v>1244</v>
      </c>
      <c r="L456" s="45" t="s">
        <v>1245</v>
      </c>
      <c r="M456" s="44" t="s">
        <v>1246</v>
      </c>
      <c r="N456" s="44" t="s">
        <v>1242</v>
      </c>
      <c r="O456" s="47"/>
      <c r="P456" s="47"/>
      <c r="Q456" s="47"/>
      <c r="R456" s="47">
        <f>FDIST(7.22,1,301)</f>
        <v>0.007610339246</v>
      </c>
      <c r="S456" s="47">
        <f t="shared" si="72"/>
        <v>2.668885488</v>
      </c>
      <c r="T456" s="47">
        <f t="shared" si="73"/>
        <v>0.7608022293</v>
      </c>
      <c r="U456" s="50"/>
    </row>
    <row r="457">
      <c r="A457" s="41"/>
      <c r="B457" s="42">
        <v>190.0</v>
      </c>
      <c r="C457" s="43"/>
      <c r="D457" s="41"/>
      <c r="E457" s="94"/>
      <c r="F457" s="43"/>
      <c r="G457" s="43"/>
      <c r="H457" s="43"/>
      <c r="I457" s="43">
        <v>1.0</v>
      </c>
      <c r="J457" s="44"/>
      <c r="K457" s="45"/>
      <c r="L457" s="59"/>
      <c r="M457" s="44" t="s">
        <v>1247</v>
      </c>
      <c r="N457" s="44" t="s">
        <v>1242</v>
      </c>
      <c r="O457" s="47"/>
      <c r="P457" s="47"/>
      <c r="Q457" s="47"/>
      <c r="R457" s="47">
        <f>FDIST(4.78,1,301)</f>
        <v>0.02956203051</v>
      </c>
      <c r="S457" s="47">
        <f t="shared" si="72"/>
        <v>2.175909469</v>
      </c>
      <c r="T457" s="47">
        <f t="shared" si="73"/>
        <v>0.5854708418</v>
      </c>
      <c r="U457" s="50"/>
    </row>
    <row r="458">
      <c r="A458" s="68"/>
      <c r="B458" s="69">
        <v>190.0</v>
      </c>
      <c r="C458" s="70"/>
      <c r="D458" s="68"/>
      <c r="E458" s="220"/>
      <c r="F458" s="70"/>
      <c r="G458" s="70"/>
      <c r="H458" s="70">
        <v>1.0</v>
      </c>
      <c r="I458" s="70">
        <v>1.0</v>
      </c>
      <c r="J458" s="71">
        <v>3.0</v>
      </c>
      <c r="K458" s="61" t="s">
        <v>1248</v>
      </c>
      <c r="L458" s="61" t="s">
        <v>1249</v>
      </c>
      <c r="M458" s="71" t="s">
        <v>1250</v>
      </c>
      <c r="N458" s="71" t="s">
        <v>1242</v>
      </c>
      <c r="O458" s="72"/>
      <c r="P458" s="72"/>
      <c r="Q458" s="72"/>
      <c r="R458" s="72">
        <f>FDIST(5.11,1,291)</f>
        <v>0.0245271047</v>
      </c>
      <c r="S458" s="72">
        <f t="shared" si="72"/>
        <v>2.248770443</v>
      </c>
      <c r="T458" s="72">
        <f t="shared" si="73"/>
        <v>0.6136214741</v>
      </c>
      <c r="U458" s="73"/>
    </row>
    <row r="459">
      <c r="A459" s="68"/>
      <c r="B459" s="69">
        <v>190.0</v>
      </c>
      <c r="C459" s="70"/>
      <c r="D459" s="68"/>
      <c r="E459" s="220"/>
      <c r="F459" s="70"/>
      <c r="G459" s="70"/>
      <c r="H459" s="70">
        <v>1.0</v>
      </c>
      <c r="I459" s="70">
        <v>1.0</v>
      </c>
      <c r="J459" s="71">
        <v>3.0</v>
      </c>
      <c r="K459" s="61"/>
      <c r="L459" s="61"/>
      <c r="M459" s="71" t="s">
        <v>1251</v>
      </c>
      <c r="N459" s="71"/>
      <c r="O459" s="72"/>
      <c r="P459" s="72"/>
      <c r="Q459" s="72"/>
      <c r="R459" s="72">
        <f>FDIST(1.55,1,291)</f>
        <v>0.2141370879</v>
      </c>
      <c r="S459" s="72">
        <f t="shared" si="72"/>
        <v>1.242269652</v>
      </c>
      <c r="T459" s="221">
        <f t="shared" si="73"/>
        <v>0.2364617837</v>
      </c>
      <c r="U459" s="73"/>
    </row>
    <row r="460">
      <c r="A460" s="68"/>
      <c r="B460" s="69">
        <v>190.0</v>
      </c>
      <c r="C460" s="70"/>
      <c r="D460" s="68"/>
      <c r="E460" s="220"/>
      <c r="F460" s="70"/>
      <c r="G460" s="70"/>
      <c r="H460" s="70">
        <v>1.0</v>
      </c>
      <c r="I460" s="70">
        <v>1.0</v>
      </c>
      <c r="J460" s="71">
        <v>3.0</v>
      </c>
      <c r="K460" s="61"/>
      <c r="L460" s="61"/>
      <c r="M460" s="71" t="s">
        <v>1252</v>
      </c>
      <c r="N460" s="71"/>
      <c r="O460" s="72"/>
      <c r="P460" s="72"/>
      <c r="Q460" s="72"/>
      <c r="R460" s="72">
        <f>FDIST(3.18,1,291)</f>
        <v>0.07558691682</v>
      </c>
      <c r="S460" s="72">
        <f t="shared" si="72"/>
        <v>1.776886497</v>
      </c>
      <c r="T460" s="72">
        <f t="shared" si="73"/>
        <v>0.4273544805</v>
      </c>
      <c r="U460" s="73"/>
    </row>
    <row r="461">
      <c r="A461" s="68"/>
      <c r="B461" s="69">
        <v>190.0</v>
      </c>
      <c r="C461" s="70"/>
      <c r="D461" s="68"/>
      <c r="E461" s="220"/>
      <c r="F461" s="70"/>
      <c r="G461" s="70"/>
      <c r="H461" s="70">
        <v>1.0</v>
      </c>
      <c r="I461" s="70">
        <v>1.0</v>
      </c>
      <c r="J461" s="71">
        <v>3.0</v>
      </c>
      <c r="K461" s="61"/>
      <c r="L461" s="61"/>
      <c r="M461" s="71" t="s">
        <v>1253</v>
      </c>
      <c r="N461" s="71"/>
      <c r="O461" s="72"/>
      <c r="P461" s="72"/>
      <c r="Q461" s="72"/>
      <c r="R461" s="72">
        <f>FDIST(3.16,1,291)</f>
        <v>0.07650748007</v>
      </c>
      <c r="S461" s="72">
        <f t="shared" si="72"/>
        <v>1.771320143</v>
      </c>
      <c r="T461" s="72">
        <f t="shared" si="73"/>
        <v>0.4251718698</v>
      </c>
      <c r="U461" s="73"/>
    </row>
    <row r="462">
      <c r="A462" s="22"/>
      <c r="B462" s="74">
        <v>190.0</v>
      </c>
      <c r="C462" s="62"/>
      <c r="D462" s="22"/>
      <c r="E462" s="127"/>
      <c r="F462" s="62"/>
      <c r="G462" s="62"/>
      <c r="H462" s="62"/>
      <c r="I462" s="62">
        <v>1.0</v>
      </c>
      <c r="J462" s="63">
        <v>4.0</v>
      </c>
      <c r="K462" s="64" t="s">
        <v>1254</v>
      </c>
      <c r="L462" s="65"/>
      <c r="M462" s="66"/>
      <c r="N462" s="66"/>
      <c r="O462" s="66"/>
      <c r="P462" s="66"/>
      <c r="Q462" s="66"/>
      <c r="R462" s="66"/>
      <c r="S462" s="66"/>
      <c r="T462" s="66"/>
      <c r="U462" s="67"/>
    </row>
    <row r="463">
      <c r="A463" s="22"/>
      <c r="B463" s="104">
        <v>190.0</v>
      </c>
      <c r="C463" s="105"/>
      <c r="D463" s="106"/>
      <c r="E463" s="129"/>
      <c r="F463" s="105"/>
      <c r="G463" s="105"/>
      <c r="H463" s="105"/>
      <c r="I463" s="105">
        <v>1.0</v>
      </c>
      <c r="J463" s="107">
        <v>5.0</v>
      </c>
      <c r="K463" s="108" t="s">
        <v>1255</v>
      </c>
      <c r="L463" s="109"/>
      <c r="M463" s="110"/>
      <c r="N463" s="110"/>
      <c r="O463" s="110"/>
      <c r="P463" s="110"/>
      <c r="Q463" s="110"/>
      <c r="R463" s="110"/>
      <c r="S463" s="110"/>
      <c r="T463" s="110"/>
      <c r="U463" s="111"/>
    </row>
    <row r="464">
      <c r="A464" s="7"/>
      <c r="B464" s="8">
        <v>191.0</v>
      </c>
      <c r="C464" s="14" t="s">
        <v>1256</v>
      </c>
      <c r="D464" s="7" t="s">
        <v>1257</v>
      </c>
      <c r="E464" s="11"/>
      <c r="F464" s="8" t="s">
        <v>1258</v>
      </c>
      <c r="G464" s="8">
        <v>2005.0</v>
      </c>
      <c r="H464" s="8"/>
      <c r="I464" s="8"/>
      <c r="J464" s="84"/>
      <c r="K464" s="16"/>
      <c r="L464" s="13"/>
      <c r="M464" s="15"/>
      <c r="N464" s="15"/>
      <c r="O464" s="15"/>
      <c r="P464" s="15"/>
      <c r="Q464" s="15"/>
      <c r="R464" s="15"/>
      <c r="S464" s="15"/>
      <c r="T464" s="15"/>
      <c r="U464" s="16"/>
    </row>
    <row r="465">
      <c r="A465" s="7"/>
      <c r="B465" s="8">
        <v>192.0</v>
      </c>
      <c r="C465" s="14" t="s">
        <v>1259</v>
      </c>
      <c r="D465" s="7" t="s">
        <v>1257</v>
      </c>
      <c r="E465" s="11"/>
      <c r="F465" s="8" t="s">
        <v>1260</v>
      </c>
      <c r="G465" s="8">
        <v>2004.0</v>
      </c>
      <c r="H465" s="8"/>
      <c r="I465" s="8"/>
      <c r="J465" s="84"/>
      <c r="K465" s="16"/>
      <c r="L465" s="13"/>
      <c r="M465" s="15"/>
      <c r="N465" s="15"/>
      <c r="O465" s="15"/>
      <c r="P465" s="15"/>
      <c r="Q465" s="15"/>
      <c r="R465" s="15"/>
      <c r="S465" s="15"/>
      <c r="T465" s="15"/>
      <c r="U465" s="16"/>
    </row>
    <row r="466">
      <c r="A466" s="7"/>
      <c r="B466" s="8">
        <v>193.0</v>
      </c>
      <c r="C466" s="14" t="s">
        <v>1261</v>
      </c>
      <c r="D466" s="7" t="s">
        <v>307</v>
      </c>
      <c r="E466" s="11"/>
      <c r="F466" s="8" t="s">
        <v>1262</v>
      </c>
      <c r="G466" s="8">
        <v>2017.0</v>
      </c>
      <c r="H466" s="8"/>
      <c r="I466" s="8"/>
      <c r="J466" s="84"/>
      <c r="K466" s="16"/>
      <c r="L466" s="13"/>
      <c r="M466" s="15"/>
      <c r="N466" s="15"/>
      <c r="O466" s="15"/>
      <c r="P466" s="15"/>
      <c r="Q466" s="15"/>
      <c r="R466" s="15"/>
      <c r="S466" s="15"/>
      <c r="T466" s="15"/>
      <c r="U466" s="16"/>
    </row>
    <row r="467">
      <c r="A467" s="7"/>
      <c r="B467" s="8">
        <v>194.0</v>
      </c>
      <c r="C467" s="14" t="s">
        <v>1263</v>
      </c>
      <c r="D467" s="7" t="s">
        <v>936</v>
      </c>
      <c r="E467" s="11"/>
      <c r="F467" s="8" t="s">
        <v>1208</v>
      </c>
      <c r="G467" s="8">
        <v>2007.0</v>
      </c>
      <c r="H467" s="8"/>
      <c r="I467" s="8"/>
      <c r="J467" s="84"/>
      <c r="K467" s="16"/>
      <c r="L467" s="13"/>
      <c r="M467" s="15"/>
      <c r="N467" s="15"/>
      <c r="O467" s="15"/>
      <c r="P467" s="15"/>
      <c r="Q467" s="15"/>
      <c r="R467" s="15"/>
      <c r="S467" s="15"/>
      <c r="T467" s="15"/>
      <c r="U467" s="16"/>
    </row>
    <row r="468">
      <c r="A468" s="7"/>
      <c r="B468" s="8">
        <v>195.0</v>
      </c>
      <c r="C468" s="14" t="s">
        <v>1264</v>
      </c>
      <c r="D468" s="7" t="s">
        <v>307</v>
      </c>
      <c r="E468" s="11"/>
      <c r="F468" s="8" t="s">
        <v>1265</v>
      </c>
      <c r="G468" s="8">
        <v>2009.0</v>
      </c>
      <c r="H468" s="8"/>
      <c r="I468" s="8"/>
      <c r="J468" s="84"/>
      <c r="K468" s="16"/>
      <c r="L468" s="13"/>
      <c r="M468" s="15"/>
      <c r="N468" s="15"/>
      <c r="O468" s="15"/>
      <c r="P468" s="15"/>
      <c r="Q468" s="15"/>
      <c r="R468" s="15"/>
      <c r="S468" s="15"/>
      <c r="T468" s="15"/>
      <c r="U468" s="16"/>
    </row>
    <row r="469">
      <c r="A469" s="7"/>
      <c r="B469" s="8">
        <v>196.0</v>
      </c>
      <c r="C469" s="14" t="s">
        <v>1266</v>
      </c>
      <c r="D469" s="7" t="s">
        <v>698</v>
      </c>
      <c r="E469" s="11"/>
      <c r="F469" s="8" t="s">
        <v>1267</v>
      </c>
      <c r="G469" s="8">
        <v>2000.0</v>
      </c>
      <c r="H469" s="8"/>
      <c r="I469" s="8"/>
      <c r="J469" s="84"/>
      <c r="K469" s="16"/>
      <c r="L469" s="13"/>
      <c r="M469" s="15"/>
      <c r="N469" s="15"/>
      <c r="O469" s="15"/>
      <c r="P469" s="15"/>
      <c r="Q469" s="15"/>
      <c r="R469" s="15"/>
      <c r="S469" s="15"/>
      <c r="T469" s="15"/>
      <c r="U469" s="16"/>
    </row>
    <row r="470">
      <c r="A470" s="7"/>
      <c r="B470" s="8">
        <v>197.0</v>
      </c>
      <c r="C470" s="14" t="s">
        <v>1268</v>
      </c>
      <c r="D470" s="7" t="s">
        <v>936</v>
      </c>
      <c r="E470" s="11"/>
      <c r="F470" s="8" t="s">
        <v>1269</v>
      </c>
      <c r="G470" s="8">
        <v>2004.0</v>
      </c>
      <c r="H470" s="8"/>
      <c r="I470" s="8"/>
      <c r="J470" s="84"/>
      <c r="K470" s="16"/>
      <c r="L470" s="13"/>
      <c r="M470" s="15"/>
      <c r="N470" s="15"/>
      <c r="O470" s="15"/>
      <c r="P470" s="15"/>
      <c r="Q470" s="15"/>
      <c r="R470" s="15"/>
      <c r="S470" s="15"/>
      <c r="T470" s="15"/>
      <c r="U470" s="16"/>
    </row>
    <row r="471">
      <c r="A471" s="7"/>
      <c r="B471" s="8">
        <v>198.0</v>
      </c>
      <c r="C471" s="14" t="s">
        <v>1270</v>
      </c>
      <c r="D471" s="7" t="s">
        <v>45</v>
      </c>
      <c r="E471" s="11"/>
      <c r="F471" s="8" t="s">
        <v>381</v>
      </c>
      <c r="G471" s="8">
        <v>2011.0</v>
      </c>
      <c r="H471" s="8"/>
      <c r="I471" s="8"/>
      <c r="J471" s="84"/>
      <c r="K471" s="16"/>
      <c r="L471" s="13"/>
      <c r="M471" s="15"/>
      <c r="N471" s="15"/>
      <c r="O471" s="15"/>
      <c r="P471" s="15"/>
      <c r="Q471" s="15"/>
      <c r="R471" s="15"/>
      <c r="S471" s="15"/>
      <c r="T471" s="15"/>
      <c r="U471" s="16"/>
    </row>
    <row r="472">
      <c r="A472" s="7"/>
      <c r="B472" s="8">
        <v>199.0</v>
      </c>
      <c r="C472" s="14" t="s">
        <v>1271</v>
      </c>
      <c r="D472" s="7" t="s">
        <v>22</v>
      </c>
      <c r="E472" s="11"/>
      <c r="F472" s="8" t="s">
        <v>1272</v>
      </c>
      <c r="G472" s="8">
        <v>2001.0</v>
      </c>
      <c r="H472" s="8"/>
      <c r="I472" s="8"/>
      <c r="J472" s="84"/>
      <c r="K472" s="16"/>
      <c r="L472" s="13"/>
      <c r="M472" s="15"/>
      <c r="N472" s="15"/>
      <c r="O472" s="15"/>
      <c r="P472" s="15"/>
      <c r="Q472" s="15"/>
      <c r="R472" s="15"/>
      <c r="S472" s="15"/>
      <c r="T472" s="15"/>
      <c r="U472" s="16"/>
    </row>
    <row r="473">
      <c r="A473" s="7"/>
      <c r="B473" s="8">
        <v>200.0</v>
      </c>
      <c r="C473" s="222" t="s">
        <v>1273</v>
      </c>
      <c r="D473" s="11"/>
      <c r="E473" s="22" t="s">
        <v>1225</v>
      </c>
      <c r="F473" s="12"/>
      <c r="G473" s="12"/>
      <c r="H473" s="8"/>
      <c r="I473" s="8"/>
      <c r="J473" s="84"/>
      <c r="K473" s="16"/>
      <c r="L473" s="13"/>
      <c r="M473" s="15"/>
      <c r="N473" s="15"/>
      <c r="O473" s="15"/>
      <c r="P473" s="15"/>
      <c r="Q473" s="15"/>
      <c r="R473" s="15"/>
      <c r="S473" s="15"/>
      <c r="T473" s="15"/>
      <c r="U473" s="16"/>
    </row>
    <row r="474">
      <c r="A474" s="7"/>
      <c r="B474" s="8">
        <v>201.0</v>
      </c>
      <c r="C474" s="222" t="s">
        <v>1273</v>
      </c>
      <c r="D474" s="11"/>
      <c r="E474" s="22" t="s">
        <v>1225</v>
      </c>
      <c r="F474" s="12"/>
      <c r="G474" s="12"/>
      <c r="H474" s="8"/>
      <c r="I474" s="8"/>
      <c r="J474" s="84"/>
      <c r="K474" s="16"/>
      <c r="L474" s="13"/>
      <c r="M474" s="15"/>
      <c r="N474" s="15"/>
      <c r="O474" s="15"/>
      <c r="P474" s="15"/>
      <c r="Q474" s="15"/>
      <c r="R474" s="15"/>
      <c r="S474" s="15"/>
      <c r="T474" s="15"/>
      <c r="U474" s="16"/>
    </row>
    <row r="475">
      <c r="A475" s="7"/>
      <c r="B475" s="8">
        <v>202.0</v>
      </c>
      <c r="C475" s="14" t="s">
        <v>1274</v>
      </c>
      <c r="D475" s="7" t="s">
        <v>936</v>
      </c>
      <c r="E475" s="11"/>
      <c r="F475" s="8" t="s">
        <v>26</v>
      </c>
      <c r="G475" s="8">
        <v>2005.0</v>
      </c>
      <c r="H475" s="8"/>
      <c r="I475" s="8"/>
      <c r="J475" s="84"/>
      <c r="K475" s="16"/>
      <c r="L475" s="13"/>
      <c r="M475" s="15"/>
      <c r="N475" s="15"/>
      <c r="O475" s="15"/>
      <c r="P475" s="15"/>
      <c r="Q475" s="15"/>
      <c r="R475" s="15"/>
      <c r="S475" s="15"/>
      <c r="T475" s="15"/>
      <c r="U475" s="16"/>
    </row>
    <row r="476">
      <c r="A476" s="7"/>
      <c r="B476" s="8">
        <v>203.0</v>
      </c>
      <c r="C476" s="14" t="s">
        <v>1275</v>
      </c>
      <c r="D476" s="7" t="s">
        <v>936</v>
      </c>
      <c r="E476" s="11"/>
      <c r="F476" s="8" t="s">
        <v>1276</v>
      </c>
      <c r="G476" s="8">
        <v>2000.0</v>
      </c>
      <c r="H476" s="8"/>
      <c r="I476" s="8"/>
      <c r="J476" s="84"/>
      <c r="K476" s="16"/>
      <c r="L476" s="13"/>
      <c r="M476" s="15"/>
      <c r="N476" s="15"/>
      <c r="O476" s="15"/>
      <c r="P476" s="15"/>
      <c r="Q476" s="15"/>
      <c r="R476" s="15"/>
      <c r="S476" s="15"/>
      <c r="T476" s="15"/>
      <c r="U476" s="16"/>
    </row>
    <row r="477">
      <c r="A477" s="7"/>
      <c r="B477" s="8">
        <v>204.0</v>
      </c>
      <c r="C477" s="14" t="s">
        <v>1277</v>
      </c>
      <c r="D477" s="7" t="s">
        <v>307</v>
      </c>
      <c r="E477" s="11"/>
      <c r="F477" s="8" t="s">
        <v>1278</v>
      </c>
      <c r="G477" s="8">
        <v>2001.0</v>
      </c>
      <c r="H477" s="8"/>
      <c r="I477" s="8"/>
      <c r="J477" s="84"/>
      <c r="K477" s="16"/>
      <c r="L477" s="13"/>
      <c r="M477" s="15"/>
      <c r="N477" s="15"/>
      <c r="O477" s="15"/>
      <c r="P477" s="15"/>
      <c r="Q477" s="15"/>
      <c r="R477" s="15"/>
      <c r="S477" s="15"/>
      <c r="T477" s="15"/>
      <c r="U477" s="16"/>
    </row>
    <row r="478">
      <c r="A478" s="7"/>
      <c r="B478" s="8">
        <v>205.0</v>
      </c>
      <c r="C478" s="14" t="s">
        <v>1279</v>
      </c>
      <c r="D478" s="7" t="s">
        <v>936</v>
      </c>
      <c r="E478" s="11"/>
      <c r="F478" s="8" t="s">
        <v>1280</v>
      </c>
      <c r="G478" s="8">
        <v>2009.0</v>
      </c>
      <c r="H478" s="8"/>
      <c r="I478" s="8"/>
      <c r="J478" s="84"/>
      <c r="K478" s="16"/>
      <c r="L478" s="13"/>
      <c r="M478" s="15"/>
      <c r="N478" s="15"/>
      <c r="O478" s="15"/>
      <c r="P478" s="15"/>
      <c r="Q478" s="15"/>
      <c r="R478" s="15"/>
      <c r="S478" s="15"/>
      <c r="T478" s="15"/>
      <c r="U478" s="16"/>
    </row>
    <row r="479">
      <c r="A479" s="7"/>
      <c r="B479" s="8">
        <v>206.0</v>
      </c>
      <c r="C479" s="14" t="s">
        <v>1281</v>
      </c>
      <c r="D479" s="7" t="s">
        <v>45</v>
      </c>
      <c r="E479" s="11"/>
      <c r="F479" s="8" t="s">
        <v>1282</v>
      </c>
      <c r="G479" s="8">
        <v>2009.0</v>
      </c>
      <c r="H479" s="8"/>
      <c r="I479" s="8"/>
      <c r="J479" s="84"/>
      <c r="K479" s="16"/>
      <c r="L479" s="13"/>
      <c r="M479" s="15"/>
      <c r="N479" s="15"/>
      <c r="O479" s="15"/>
      <c r="P479" s="15"/>
      <c r="Q479" s="15"/>
      <c r="R479" s="15"/>
      <c r="S479" s="15"/>
      <c r="T479" s="15"/>
      <c r="U479" s="16"/>
    </row>
    <row r="480">
      <c r="A480" s="7"/>
      <c r="B480" s="8">
        <v>207.0</v>
      </c>
      <c r="C480" s="14" t="s">
        <v>1283</v>
      </c>
      <c r="D480" s="7" t="s">
        <v>936</v>
      </c>
      <c r="E480" s="11"/>
      <c r="F480" s="8" t="s">
        <v>1284</v>
      </c>
      <c r="G480" s="8">
        <v>2008.0</v>
      </c>
      <c r="H480" s="8"/>
      <c r="I480" s="8"/>
      <c r="J480" s="84"/>
      <c r="K480" s="16"/>
      <c r="L480" s="13"/>
      <c r="M480" s="15"/>
      <c r="N480" s="15"/>
      <c r="O480" s="15"/>
      <c r="P480" s="15"/>
      <c r="Q480" s="15"/>
      <c r="R480" s="15"/>
      <c r="S480" s="15"/>
      <c r="T480" s="15"/>
      <c r="U480" s="16"/>
    </row>
    <row r="481">
      <c r="A481" s="7"/>
      <c r="B481" s="8">
        <v>208.0</v>
      </c>
      <c r="C481" s="14" t="s">
        <v>1285</v>
      </c>
      <c r="D481" s="7" t="s">
        <v>149</v>
      </c>
      <c r="E481" s="11"/>
      <c r="F481" s="8" t="s">
        <v>1286</v>
      </c>
      <c r="G481" s="8">
        <v>2017.0</v>
      </c>
      <c r="H481" s="8"/>
      <c r="I481" s="8"/>
      <c r="J481" s="84"/>
      <c r="K481" s="16"/>
      <c r="L481" s="13"/>
      <c r="M481" s="15"/>
      <c r="N481" s="15"/>
      <c r="O481" s="15"/>
      <c r="P481" s="15"/>
      <c r="Q481" s="15"/>
      <c r="R481" s="15"/>
      <c r="S481" s="15"/>
      <c r="T481" s="15"/>
      <c r="U481" s="16"/>
    </row>
    <row r="482">
      <c r="A482" s="48"/>
      <c r="B482" s="145">
        <v>209.0</v>
      </c>
      <c r="C482" s="146" t="s">
        <v>1287</v>
      </c>
      <c r="D482" s="147" t="s">
        <v>48</v>
      </c>
      <c r="E482" s="223"/>
      <c r="F482" s="148" t="s">
        <v>1288</v>
      </c>
      <c r="G482" s="148">
        <v>2000.0</v>
      </c>
      <c r="H482" s="148"/>
      <c r="I482" s="148">
        <v>1.0</v>
      </c>
      <c r="J482" s="149" t="s">
        <v>199</v>
      </c>
      <c r="K482" s="150" t="s">
        <v>1289</v>
      </c>
      <c r="L482" s="150" t="s">
        <v>1290</v>
      </c>
      <c r="M482" s="151"/>
      <c r="N482" s="151"/>
      <c r="O482" s="151"/>
      <c r="P482" s="151"/>
      <c r="Q482" s="151"/>
      <c r="R482" s="151"/>
      <c r="S482" s="151"/>
      <c r="T482" s="151"/>
      <c r="U482" s="200" t="s">
        <v>1291</v>
      </c>
    </row>
    <row r="483">
      <c r="A483" s="48"/>
      <c r="B483" s="97">
        <v>209.0</v>
      </c>
      <c r="C483" s="49"/>
      <c r="D483" s="48"/>
      <c r="E483" s="160"/>
      <c r="F483" s="49"/>
      <c r="G483" s="49"/>
      <c r="H483" s="49"/>
      <c r="I483" s="49">
        <v>1.0</v>
      </c>
      <c r="J483" s="98" t="s">
        <v>206</v>
      </c>
      <c r="K483" s="53" t="s">
        <v>1292</v>
      </c>
      <c r="L483" s="53" t="s">
        <v>1293</v>
      </c>
      <c r="M483" s="55"/>
      <c r="N483" s="55"/>
      <c r="O483" s="55"/>
      <c r="P483" s="55"/>
      <c r="Q483" s="55"/>
      <c r="R483" s="55"/>
      <c r="S483" s="55"/>
      <c r="T483" s="55"/>
      <c r="U483" s="99"/>
    </row>
    <row r="484">
      <c r="A484" s="48"/>
      <c r="B484" s="97">
        <v>209.0</v>
      </c>
      <c r="C484" s="49"/>
      <c r="D484" s="48"/>
      <c r="E484" s="160"/>
      <c r="F484" s="49"/>
      <c r="G484" s="49"/>
      <c r="H484" s="49"/>
      <c r="I484" s="49">
        <v>1.0</v>
      </c>
      <c r="J484" s="98" t="s">
        <v>210</v>
      </c>
      <c r="K484" s="53" t="s">
        <v>1294</v>
      </c>
      <c r="L484" s="53" t="s">
        <v>1293</v>
      </c>
      <c r="M484" s="55"/>
      <c r="N484" s="55"/>
      <c r="O484" s="55"/>
      <c r="P484" s="55"/>
      <c r="Q484" s="55"/>
      <c r="R484" s="55"/>
      <c r="S484" s="55"/>
      <c r="T484" s="55"/>
      <c r="U484" s="99"/>
    </row>
    <row r="485">
      <c r="A485" s="41">
        <v>1.0</v>
      </c>
      <c r="B485" s="42">
        <v>209.0</v>
      </c>
      <c r="C485" s="43"/>
      <c r="D485" s="41"/>
      <c r="E485" s="94"/>
      <c r="F485" s="43"/>
      <c r="G485" s="43"/>
      <c r="H485" s="43">
        <v>1.0</v>
      </c>
      <c r="I485" s="43">
        <v>1.0</v>
      </c>
      <c r="J485" s="44">
        <v>2.0</v>
      </c>
      <c r="K485" s="45" t="s">
        <v>1295</v>
      </c>
      <c r="L485" s="45" t="s">
        <v>1296</v>
      </c>
      <c r="M485" s="47"/>
      <c r="N485" s="47"/>
      <c r="O485" s="47"/>
      <c r="P485" s="47"/>
      <c r="Q485" s="47"/>
      <c r="R485" s="47"/>
      <c r="S485" s="47"/>
      <c r="T485" s="47"/>
      <c r="U485" s="50"/>
    </row>
    <row r="486">
      <c r="A486" s="41"/>
      <c r="B486" s="42">
        <v>209.0</v>
      </c>
      <c r="C486" s="43"/>
      <c r="D486" s="41"/>
      <c r="E486" s="94"/>
      <c r="F486" s="43"/>
      <c r="G486" s="43"/>
      <c r="H486" s="43">
        <v>1.0</v>
      </c>
      <c r="I486" s="43">
        <v>1.0</v>
      </c>
      <c r="J486" s="44">
        <v>3.0</v>
      </c>
      <c r="K486" s="45" t="s">
        <v>1297</v>
      </c>
      <c r="L486" s="45" t="s">
        <v>1298</v>
      </c>
      <c r="M486" s="44" t="s">
        <v>1299</v>
      </c>
      <c r="N486" s="44" t="s">
        <v>128</v>
      </c>
      <c r="O486" s="47"/>
      <c r="P486" s="44" t="s">
        <v>1300</v>
      </c>
      <c r="Q486" s="47"/>
      <c r="R486" s="47">
        <f>FDIST(33.92,3,193)</f>
        <v>0</v>
      </c>
      <c r="S486" s="47" t="str">
        <f t="shared" ref="S486:S487" si="74">NORMINV(1-R486/2,0,1)</f>
        <v>#NUM!</v>
      </c>
      <c r="T486" s="47" t="str">
        <f t="shared" ref="T486:T487" si="75">NORMDIST(S486,1.96,1,TRUE)</f>
        <v>#NUM!</v>
      </c>
      <c r="U486" s="50"/>
    </row>
    <row r="487">
      <c r="A487" s="41"/>
      <c r="B487" s="42">
        <v>209.0</v>
      </c>
      <c r="C487" s="43"/>
      <c r="D487" s="41"/>
      <c r="E487" s="94"/>
      <c r="F487" s="43"/>
      <c r="G487" s="43"/>
      <c r="H487" s="43">
        <v>1.0</v>
      </c>
      <c r="I487" s="43">
        <v>1.0</v>
      </c>
      <c r="J487" s="44">
        <v>4.0</v>
      </c>
      <c r="K487" s="45" t="s">
        <v>1301</v>
      </c>
      <c r="L487" s="45" t="s">
        <v>1302</v>
      </c>
      <c r="M487" s="44" t="s">
        <v>1303</v>
      </c>
      <c r="N487" s="44" t="s">
        <v>1304</v>
      </c>
      <c r="O487" s="47"/>
      <c r="P487" s="123" t="s">
        <v>1305</v>
      </c>
      <c r="Q487" s="47"/>
      <c r="R487" s="47">
        <f>FDIST(2.9,1,197)</f>
        <v>0.09015668784</v>
      </c>
      <c r="S487" s="47">
        <f t="shared" si="74"/>
        <v>1.69457176</v>
      </c>
      <c r="T487" s="47">
        <f t="shared" si="75"/>
        <v>0.395339792</v>
      </c>
      <c r="U487" s="50"/>
    </row>
    <row r="488">
      <c r="A488" s="48"/>
      <c r="B488" s="97">
        <v>209.0</v>
      </c>
      <c r="C488" s="49"/>
      <c r="D488" s="48"/>
      <c r="E488" s="160"/>
      <c r="F488" s="49"/>
      <c r="G488" s="49"/>
      <c r="H488" s="49"/>
      <c r="I488" s="49">
        <v>1.0</v>
      </c>
      <c r="J488" s="98">
        <v>5.0</v>
      </c>
      <c r="K488" s="53" t="s">
        <v>1306</v>
      </c>
      <c r="L488" s="53" t="s">
        <v>1307</v>
      </c>
      <c r="M488" s="55"/>
      <c r="N488" s="55"/>
      <c r="O488" s="55"/>
      <c r="P488" s="55"/>
      <c r="Q488" s="55"/>
      <c r="R488" s="55"/>
      <c r="S488" s="55"/>
      <c r="T488" s="55"/>
      <c r="U488" s="99"/>
    </row>
    <row r="489">
      <c r="A489" s="41">
        <v>1.0</v>
      </c>
      <c r="B489" s="42">
        <v>209.0</v>
      </c>
      <c r="C489" s="43"/>
      <c r="D489" s="41"/>
      <c r="E489" s="94"/>
      <c r="F489" s="43"/>
      <c r="G489" s="43"/>
      <c r="H489" s="43">
        <v>2.0</v>
      </c>
      <c r="I489" s="43">
        <v>2.0</v>
      </c>
      <c r="J489" s="44">
        <v>1.0</v>
      </c>
      <c r="K489" s="45" t="s">
        <v>1308</v>
      </c>
      <c r="L489" s="45" t="s">
        <v>1309</v>
      </c>
      <c r="M489" s="44" t="s">
        <v>1310</v>
      </c>
      <c r="N489" s="44" t="s">
        <v>169</v>
      </c>
      <c r="O489" s="47"/>
      <c r="P489" s="44" t="s">
        <v>1311</v>
      </c>
      <c r="Q489" s="47"/>
      <c r="R489" s="47">
        <f>FDIST(4.154,1,76)</f>
        <v>0.04501579689</v>
      </c>
      <c r="S489" s="47">
        <f t="shared" ref="S489:S490" si="76">NORMINV(1-R489/2,0,1)</f>
        <v>2.004506822</v>
      </c>
      <c r="T489" s="47">
        <f t="shared" ref="T489:T490" si="77">NORMDIST(S489,1.96,1,TRUE)</f>
        <v>0.517749793</v>
      </c>
      <c r="U489" s="50"/>
    </row>
    <row r="490">
      <c r="A490" s="41"/>
      <c r="B490" s="83">
        <v>209.0</v>
      </c>
      <c r="C490" s="75"/>
      <c r="D490" s="76"/>
      <c r="E490" s="95"/>
      <c r="F490" s="75"/>
      <c r="G490" s="75"/>
      <c r="H490" s="75">
        <v>2.0</v>
      </c>
      <c r="I490" s="75">
        <v>2.0</v>
      </c>
      <c r="J490" s="77">
        <v>1.0</v>
      </c>
      <c r="K490" s="78" t="s">
        <v>1312</v>
      </c>
      <c r="L490" s="78" t="s">
        <v>1313</v>
      </c>
      <c r="M490" s="77" t="s">
        <v>1314</v>
      </c>
      <c r="N490" s="77" t="s">
        <v>275</v>
      </c>
      <c r="O490" s="80"/>
      <c r="P490" s="80"/>
      <c r="Q490" s="80"/>
      <c r="R490" s="80">
        <f>FDIST(0.72,1,76)</f>
        <v>0.3988086016</v>
      </c>
      <c r="S490" s="80">
        <f t="shared" si="76"/>
        <v>0.8437509284</v>
      </c>
      <c r="T490" s="80">
        <f t="shared" si="77"/>
        <v>0.1321577674</v>
      </c>
      <c r="U490" s="81"/>
    </row>
    <row r="491">
      <c r="A491" s="7"/>
      <c r="B491" s="8">
        <v>210.0</v>
      </c>
      <c r="C491" s="14" t="s">
        <v>1315</v>
      </c>
      <c r="D491" s="11"/>
      <c r="E491" s="22" t="s">
        <v>768</v>
      </c>
      <c r="F491" s="8" t="s">
        <v>1316</v>
      </c>
      <c r="G491" s="8">
        <v>2000.0</v>
      </c>
      <c r="H491" s="8"/>
      <c r="I491" s="8"/>
      <c r="J491" s="84"/>
      <c r="K491" s="16"/>
      <c r="L491" s="13"/>
      <c r="M491" s="15"/>
      <c r="N491" s="15"/>
      <c r="O491" s="15"/>
      <c r="P491" s="15"/>
      <c r="Q491" s="15"/>
      <c r="R491" s="15"/>
      <c r="S491" s="15"/>
      <c r="T491" s="15"/>
      <c r="U491" s="16"/>
    </row>
    <row r="492">
      <c r="A492" s="7"/>
      <c r="B492" s="8">
        <v>211.0</v>
      </c>
      <c r="C492" s="14" t="s">
        <v>1317</v>
      </c>
      <c r="D492" s="7" t="s">
        <v>1257</v>
      </c>
      <c r="E492" s="11"/>
      <c r="F492" s="8" t="s">
        <v>175</v>
      </c>
      <c r="G492" s="8">
        <v>2005.0</v>
      </c>
      <c r="H492" s="8"/>
      <c r="I492" s="8"/>
      <c r="J492" s="84"/>
      <c r="K492" s="16"/>
      <c r="L492" s="13"/>
      <c r="M492" s="15"/>
      <c r="N492" s="15"/>
      <c r="O492" s="15"/>
      <c r="P492" s="15"/>
      <c r="Q492" s="15"/>
      <c r="R492" s="15"/>
      <c r="S492" s="15"/>
      <c r="T492" s="15"/>
      <c r="U492" s="16"/>
    </row>
    <row r="493">
      <c r="A493" s="68">
        <v>1.0</v>
      </c>
      <c r="B493" s="210">
        <v>212.0</v>
      </c>
      <c r="C493" s="211" t="s">
        <v>1318</v>
      </c>
      <c r="D493" s="212" t="s">
        <v>48</v>
      </c>
      <c r="E493" s="224"/>
      <c r="F493" s="213" t="s">
        <v>1319</v>
      </c>
      <c r="G493" s="213">
        <v>2006.0</v>
      </c>
      <c r="H493" s="213">
        <v>1.0</v>
      </c>
      <c r="I493" s="213">
        <v>1.0</v>
      </c>
      <c r="J493" s="214">
        <v>1.0</v>
      </c>
      <c r="K493" s="215" t="s">
        <v>1320</v>
      </c>
      <c r="L493" s="215" t="s">
        <v>1321</v>
      </c>
      <c r="M493" s="214" t="s">
        <v>1322</v>
      </c>
      <c r="N493" s="214" t="s">
        <v>119</v>
      </c>
      <c r="O493" s="216"/>
      <c r="P493" s="214" t="s">
        <v>1323</v>
      </c>
      <c r="Q493" s="216"/>
      <c r="R493" s="216">
        <f>FDIST(1317.58,2,1398)</f>
        <v>0</v>
      </c>
      <c r="S493" s="216" t="str">
        <f t="shared" ref="S493:S495" si="78">NORMINV(1-R493/2,0,1)</f>
        <v>#NUM!</v>
      </c>
      <c r="T493" s="216" t="str">
        <f t="shared" ref="T493:T495" si="79">NORMDIST(S493,1.96,1,TRUE)</f>
        <v>#NUM!</v>
      </c>
      <c r="U493" s="217" t="s">
        <v>1324</v>
      </c>
    </row>
    <row r="494">
      <c r="A494" s="41"/>
      <c r="B494" s="42">
        <v>212.0</v>
      </c>
      <c r="C494" s="43"/>
      <c r="D494" s="41"/>
      <c r="E494" s="94"/>
      <c r="F494" s="43"/>
      <c r="G494" s="43"/>
      <c r="H494" s="43"/>
      <c r="I494" s="43">
        <v>1.0</v>
      </c>
      <c r="J494" s="44">
        <v>2.0</v>
      </c>
      <c r="K494" s="45" t="s">
        <v>1325</v>
      </c>
      <c r="L494" s="45" t="s">
        <v>1326</v>
      </c>
      <c r="M494" s="44" t="s">
        <v>1327</v>
      </c>
      <c r="N494" s="44" t="s">
        <v>119</v>
      </c>
      <c r="O494" s="47"/>
      <c r="P494" s="44" t="s">
        <v>1328</v>
      </c>
      <c r="Q494" s="47"/>
      <c r="R494" s="47">
        <f>FDIST(92.84,3,463)</f>
        <v>0</v>
      </c>
      <c r="S494" s="47" t="str">
        <f t="shared" si="78"/>
        <v>#NUM!</v>
      </c>
      <c r="T494" s="47" t="str">
        <f t="shared" si="79"/>
        <v>#NUM!</v>
      </c>
      <c r="U494" s="50"/>
    </row>
    <row r="495">
      <c r="A495" s="41"/>
      <c r="B495" s="83">
        <v>212.0</v>
      </c>
      <c r="C495" s="75"/>
      <c r="D495" s="76"/>
      <c r="E495" s="95"/>
      <c r="F495" s="75"/>
      <c r="G495" s="75"/>
      <c r="H495" s="75"/>
      <c r="I495" s="75">
        <v>1.0</v>
      </c>
      <c r="J495" s="77">
        <v>2.0</v>
      </c>
      <c r="K495" s="78" t="s">
        <v>1329</v>
      </c>
      <c r="L495" s="78" t="s">
        <v>1330</v>
      </c>
      <c r="M495" s="77" t="s">
        <v>1331</v>
      </c>
      <c r="N495" s="77" t="s">
        <v>119</v>
      </c>
      <c r="O495" s="80"/>
      <c r="P495" s="77" t="s">
        <v>1332</v>
      </c>
      <c r="Q495" s="80"/>
      <c r="R495" s="80">
        <f>FDIST(206.84,3,463)</f>
        <v>0</v>
      </c>
      <c r="S495" s="80" t="str">
        <f t="shared" si="78"/>
        <v>#NUM!</v>
      </c>
      <c r="T495" s="80" t="str">
        <f t="shared" si="79"/>
        <v>#NUM!</v>
      </c>
      <c r="U495" s="81"/>
    </row>
    <row r="496">
      <c r="A496" s="7"/>
      <c r="B496" s="8">
        <v>213.0</v>
      </c>
      <c r="C496" s="14" t="s">
        <v>1333</v>
      </c>
      <c r="D496" s="7" t="s">
        <v>1257</v>
      </c>
      <c r="E496" s="11"/>
      <c r="F496" s="8" t="s">
        <v>1334</v>
      </c>
      <c r="G496" s="8">
        <v>2006.0</v>
      </c>
      <c r="H496" s="8"/>
      <c r="I496" s="8"/>
      <c r="J496" s="84"/>
      <c r="K496" s="16"/>
      <c r="L496" s="13"/>
      <c r="M496" s="15"/>
      <c r="N496" s="15"/>
      <c r="O496" s="15"/>
      <c r="P496" s="15"/>
      <c r="Q496" s="15"/>
      <c r="R496" s="15"/>
      <c r="S496" s="15"/>
      <c r="T496" s="15"/>
      <c r="U496" s="16"/>
    </row>
    <row r="497">
      <c r="A497" s="7"/>
      <c r="B497" s="8">
        <v>214.0</v>
      </c>
      <c r="C497" s="14" t="s">
        <v>1335</v>
      </c>
      <c r="D497" s="7" t="s">
        <v>45</v>
      </c>
      <c r="E497" s="11"/>
      <c r="F497" s="8" t="s">
        <v>1336</v>
      </c>
      <c r="G497" s="8">
        <v>2010.0</v>
      </c>
      <c r="H497" s="8"/>
      <c r="I497" s="8"/>
      <c r="J497" s="84"/>
      <c r="K497" s="16"/>
      <c r="L497" s="13"/>
      <c r="M497" s="15"/>
      <c r="N497" s="15"/>
      <c r="O497" s="15"/>
      <c r="P497" s="15"/>
      <c r="Q497" s="15"/>
      <c r="R497" s="15"/>
      <c r="S497" s="15"/>
      <c r="T497" s="15"/>
      <c r="U497" s="16"/>
    </row>
    <row r="498">
      <c r="A498" s="7"/>
      <c r="B498" s="8">
        <v>215.0</v>
      </c>
      <c r="C498" s="14" t="s">
        <v>1337</v>
      </c>
      <c r="D498" s="7" t="s">
        <v>1338</v>
      </c>
      <c r="E498" s="11"/>
      <c r="F498" s="8" t="s">
        <v>1339</v>
      </c>
      <c r="G498" s="8">
        <v>2008.0</v>
      </c>
      <c r="H498" s="8"/>
      <c r="I498" s="8"/>
      <c r="J498" s="84"/>
      <c r="K498" s="16"/>
      <c r="L498" s="13"/>
      <c r="M498" s="15"/>
      <c r="N498" s="15"/>
      <c r="O498" s="15"/>
      <c r="P498" s="15"/>
      <c r="Q498" s="15"/>
      <c r="R498" s="15"/>
      <c r="S498" s="15"/>
      <c r="T498" s="15"/>
      <c r="U498" s="16"/>
    </row>
    <row r="499">
      <c r="A499" s="7"/>
      <c r="B499" s="8">
        <v>216.0</v>
      </c>
      <c r="C499" s="14" t="s">
        <v>1340</v>
      </c>
      <c r="D499" s="7" t="s">
        <v>1257</v>
      </c>
      <c r="E499" s="11"/>
      <c r="F499" s="8" t="s">
        <v>1341</v>
      </c>
      <c r="G499" s="8">
        <v>2011.0</v>
      </c>
      <c r="H499" s="8"/>
      <c r="I499" s="8"/>
      <c r="J499" s="84"/>
      <c r="K499" s="16"/>
      <c r="L499" s="13"/>
      <c r="M499" s="15"/>
      <c r="N499" s="15"/>
      <c r="O499" s="15"/>
      <c r="P499" s="15"/>
      <c r="Q499" s="15"/>
      <c r="R499" s="15"/>
      <c r="S499" s="15"/>
      <c r="T499" s="15"/>
      <c r="U499" s="16"/>
    </row>
    <row r="500">
      <c r="A500" s="7"/>
      <c r="B500" s="8">
        <v>217.0</v>
      </c>
      <c r="C500" s="14" t="s">
        <v>1342</v>
      </c>
      <c r="D500" s="7" t="s">
        <v>45</v>
      </c>
      <c r="E500" s="11"/>
      <c r="F500" s="8" t="s">
        <v>1159</v>
      </c>
      <c r="G500" s="8">
        <v>2006.0</v>
      </c>
      <c r="H500" s="8"/>
      <c r="I500" s="8"/>
      <c r="J500" s="84"/>
      <c r="K500" s="16"/>
      <c r="L500" s="13"/>
      <c r="M500" s="15"/>
      <c r="N500" s="15"/>
      <c r="O500" s="15"/>
      <c r="P500" s="15"/>
      <c r="Q500" s="15"/>
      <c r="R500" s="15"/>
      <c r="S500" s="15"/>
      <c r="T500" s="15"/>
      <c r="U500" s="16"/>
    </row>
    <row r="501">
      <c r="A501" s="7"/>
      <c r="B501" s="8">
        <v>218.0</v>
      </c>
      <c r="C501" s="14" t="s">
        <v>1343</v>
      </c>
      <c r="D501" s="7" t="s">
        <v>1257</v>
      </c>
      <c r="E501" s="11"/>
      <c r="F501" s="8" t="s">
        <v>1344</v>
      </c>
      <c r="G501" s="8">
        <v>2009.0</v>
      </c>
      <c r="H501" s="8"/>
      <c r="I501" s="8"/>
      <c r="J501" s="84"/>
      <c r="K501" s="16"/>
      <c r="L501" s="13"/>
      <c r="M501" s="15"/>
      <c r="N501" s="15"/>
      <c r="O501" s="15"/>
      <c r="P501" s="15"/>
      <c r="Q501" s="15"/>
      <c r="R501" s="15"/>
      <c r="S501" s="15"/>
      <c r="T501" s="15"/>
      <c r="U501" s="16"/>
    </row>
    <row r="502">
      <c r="A502" s="7"/>
      <c r="B502" s="8">
        <v>219.0</v>
      </c>
      <c r="C502" s="14" t="s">
        <v>1345</v>
      </c>
      <c r="D502" s="7" t="s">
        <v>1257</v>
      </c>
      <c r="E502" s="11"/>
      <c r="F502" s="8" t="s">
        <v>1346</v>
      </c>
      <c r="G502" s="8">
        <v>2016.0</v>
      </c>
      <c r="H502" s="8"/>
      <c r="I502" s="8"/>
      <c r="J502" s="84"/>
      <c r="K502" s="16"/>
      <c r="L502" s="13"/>
      <c r="M502" s="15"/>
      <c r="N502" s="15"/>
      <c r="O502" s="15"/>
      <c r="P502" s="15"/>
      <c r="Q502" s="15"/>
      <c r="R502" s="15"/>
      <c r="S502" s="15"/>
      <c r="T502" s="15"/>
      <c r="U502" s="16"/>
    </row>
    <row r="503">
      <c r="A503" s="41">
        <v>1.0</v>
      </c>
      <c r="B503" s="86">
        <v>220.0</v>
      </c>
      <c r="C503" s="87" t="s">
        <v>1347</v>
      </c>
      <c r="D503" s="88" t="s">
        <v>48</v>
      </c>
      <c r="E503" s="219"/>
      <c r="F503" s="89" t="s">
        <v>1348</v>
      </c>
      <c r="G503" s="89">
        <v>2006.0</v>
      </c>
      <c r="H503" s="89">
        <v>1.0</v>
      </c>
      <c r="I503" s="89">
        <v>1.0</v>
      </c>
      <c r="J503" s="90" t="s">
        <v>199</v>
      </c>
      <c r="K503" s="91" t="s">
        <v>1349</v>
      </c>
      <c r="L503" s="91" t="s">
        <v>1350</v>
      </c>
      <c r="M503" s="90" t="s">
        <v>1351</v>
      </c>
      <c r="N503" s="90" t="s">
        <v>169</v>
      </c>
      <c r="O503" s="92"/>
      <c r="P503" s="92"/>
      <c r="Q503" s="92"/>
      <c r="R503" s="92">
        <f>TDIST(2.57,92,2)</f>
        <v>0.01177652</v>
      </c>
      <c r="S503" s="92">
        <f t="shared" ref="S503:S513" si="80">NORMINV(1-R503/2,0,1)</f>
        <v>2.518771064</v>
      </c>
      <c r="T503" s="92">
        <f t="shared" ref="T503:T513" si="81">NORMDIST(S503,1.96,1,TRUE)</f>
        <v>0.7118410135</v>
      </c>
      <c r="U503" s="93"/>
    </row>
    <row r="504">
      <c r="A504" s="41"/>
      <c r="B504" s="42">
        <v>220.0</v>
      </c>
      <c r="C504" s="43"/>
      <c r="D504" s="41"/>
      <c r="E504" s="94"/>
      <c r="F504" s="43"/>
      <c r="G504" s="43"/>
      <c r="H504" s="43">
        <v>1.0</v>
      </c>
      <c r="I504" s="43">
        <v>1.0</v>
      </c>
      <c r="J504" s="44" t="s">
        <v>206</v>
      </c>
      <c r="K504" s="45" t="s">
        <v>1352</v>
      </c>
      <c r="L504" s="45" t="s">
        <v>1353</v>
      </c>
      <c r="M504" s="44" t="s">
        <v>1354</v>
      </c>
      <c r="N504" s="44" t="s">
        <v>128</v>
      </c>
      <c r="O504" s="47"/>
      <c r="P504" s="47"/>
      <c r="Q504" s="47"/>
      <c r="R504" s="47">
        <f>TDIST(11.37,91,2)</f>
        <v>0</v>
      </c>
      <c r="S504" s="47" t="str">
        <f t="shared" si="80"/>
        <v>#NUM!</v>
      </c>
      <c r="T504" s="47" t="str">
        <f t="shared" si="81"/>
        <v>#NUM!</v>
      </c>
      <c r="U504" s="50"/>
    </row>
    <row r="505">
      <c r="A505" s="41"/>
      <c r="B505" s="42">
        <v>220.0</v>
      </c>
      <c r="C505" s="43"/>
      <c r="D505" s="41"/>
      <c r="E505" s="94"/>
      <c r="F505" s="43"/>
      <c r="G505" s="43"/>
      <c r="H505" s="43">
        <v>1.0</v>
      </c>
      <c r="I505" s="43">
        <v>1.0</v>
      </c>
      <c r="J505" s="44" t="s">
        <v>642</v>
      </c>
      <c r="K505" s="45" t="s">
        <v>1355</v>
      </c>
      <c r="L505" s="45" t="s">
        <v>1356</v>
      </c>
      <c r="M505" s="44" t="s">
        <v>1357</v>
      </c>
      <c r="N505" s="44" t="s">
        <v>119</v>
      </c>
      <c r="O505" s="47"/>
      <c r="P505" s="47"/>
      <c r="Q505" s="47"/>
      <c r="R505" s="47">
        <f>TDIST(2.67,91,2)</f>
        <v>0.008983673819</v>
      </c>
      <c r="S505" s="47">
        <f t="shared" si="80"/>
        <v>2.612674805</v>
      </c>
      <c r="T505" s="47">
        <f t="shared" si="81"/>
        <v>0.7430170258</v>
      </c>
      <c r="U505" s="50"/>
    </row>
    <row r="506">
      <c r="A506" s="41"/>
      <c r="B506" s="42">
        <v>220.0</v>
      </c>
      <c r="C506" s="43"/>
      <c r="D506" s="41"/>
      <c r="E506" s="94"/>
      <c r="F506" s="43"/>
      <c r="G506" s="43"/>
      <c r="H506" s="43">
        <v>1.0</v>
      </c>
      <c r="I506" s="43">
        <v>1.0</v>
      </c>
      <c r="J506" s="44" t="s">
        <v>644</v>
      </c>
      <c r="K506" s="45" t="s">
        <v>1358</v>
      </c>
      <c r="L506" s="45" t="s">
        <v>1359</v>
      </c>
      <c r="M506" s="44" t="s">
        <v>1360</v>
      </c>
      <c r="N506" s="44" t="s">
        <v>128</v>
      </c>
      <c r="O506" s="47"/>
      <c r="P506" s="47"/>
      <c r="Q506" s="47"/>
      <c r="R506" s="47">
        <f>TDIST(3.72,91,2)</f>
        <v>0.0003443543426</v>
      </c>
      <c r="S506" s="47">
        <f t="shared" si="80"/>
        <v>3.579422502</v>
      </c>
      <c r="T506" s="47">
        <f t="shared" si="81"/>
        <v>0.9473218057</v>
      </c>
      <c r="U506" s="50"/>
    </row>
    <row r="507">
      <c r="A507" s="41"/>
      <c r="B507" s="42">
        <v>220.0</v>
      </c>
      <c r="C507" s="43"/>
      <c r="D507" s="41"/>
      <c r="E507" s="94"/>
      <c r="F507" s="43"/>
      <c r="G507" s="43"/>
      <c r="H507" s="43">
        <v>1.0</v>
      </c>
      <c r="I507" s="43">
        <v>1.0</v>
      </c>
      <c r="J507" s="44"/>
      <c r="K507" s="45"/>
      <c r="L507" s="45" t="s">
        <v>1361</v>
      </c>
      <c r="M507" s="44" t="s">
        <v>1362</v>
      </c>
      <c r="N507" s="44" t="s">
        <v>128</v>
      </c>
      <c r="O507" s="47"/>
      <c r="P507" s="47"/>
      <c r="Q507" s="47"/>
      <c r="R507" s="47">
        <f>TDIST(8.97,90,2)</f>
        <v>0</v>
      </c>
      <c r="S507" s="47">
        <f t="shared" si="80"/>
        <v>7.561822716</v>
      </c>
      <c r="T507" s="47">
        <f t="shared" si="81"/>
        <v>0.9999999894</v>
      </c>
      <c r="U507" s="50"/>
    </row>
    <row r="508">
      <c r="A508" s="41"/>
      <c r="B508" s="42">
        <v>220.0</v>
      </c>
      <c r="C508" s="43"/>
      <c r="D508" s="41"/>
      <c r="E508" s="94"/>
      <c r="F508" s="43"/>
      <c r="G508" s="43"/>
      <c r="H508" s="43">
        <v>1.0</v>
      </c>
      <c r="I508" s="43">
        <v>1.0</v>
      </c>
      <c r="J508" s="44"/>
      <c r="K508" s="45"/>
      <c r="L508" s="45" t="s">
        <v>1363</v>
      </c>
      <c r="M508" s="44" t="s">
        <v>1364</v>
      </c>
      <c r="N508" s="44" t="s">
        <v>169</v>
      </c>
      <c r="O508" s="47"/>
      <c r="P508" s="47"/>
      <c r="Q508" s="47"/>
      <c r="R508" s="47">
        <f>TDIST(0.71,90,2)</f>
        <v>0.4795397368</v>
      </c>
      <c r="S508" s="47">
        <f t="shared" si="80"/>
        <v>0.707043031</v>
      </c>
      <c r="T508" s="47">
        <f t="shared" si="81"/>
        <v>0.1051106837</v>
      </c>
      <c r="U508" s="50"/>
    </row>
    <row r="509">
      <c r="A509" s="41"/>
      <c r="B509" s="42">
        <v>220.0</v>
      </c>
      <c r="C509" s="43"/>
      <c r="D509" s="41"/>
      <c r="E509" s="94"/>
      <c r="F509" s="43"/>
      <c r="G509" s="43"/>
      <c r="H509" s="43">
        <v>1.0</v>
      </c>
      <c r="I509" s="43">
        <v>1.0</v>
      </c>
      <c r="J509" s="44" t="s">
        <v>53</v>
      </c>
      <c r="K509" s="45" t="s">
        <v>1365</v>
      </c>
      <c r="L509" s="45" t="s">
        <v>1366</v>
      </c>
      <c r="M509" s="44" t="s">
        <v>1367</v>
      </c>
      <c r="N509" s="44" t="s">
        <v>1368</v>
      </c>
      <c r="O509" s="47"/>
      <c r="P509" s="47"/>
      <c r="Q509" s="47"/>
      <c r="R509" s="47">
        <f>TDIST(0.13,2687,2)</f>
        <v>0.8965761574</v>
      </c>
      <c r="S509" s="47">
        <f t="shared" si="80"/>
        <v>0.1299877009</v>
      </c>
      <c r="T509" s="47">
        <f t="shared" si="81"/>
        <v>0.03362404987</v>
      </c>
      <c r="U509" s="50"/>
    </row>
    <row r="510">
      <c r="A510" s="41"/>
      <c r="B510" s="42">
        <v>220.0</v>
      </c>
      <c r="C510" s="43"/>
      <c r="D510" s="41"/>
      <c r="E510" s="94"/>
      <c r="F510" s="43"/>
      <c r="G510" s="43"/>
      <c r="H510" s="43">
        <v>1.0</v>
      </c>
      <c r="I510" s="43">
        <v>1.0</v>
      </c>
      <c r="J510" s="44"/>
      <c r="K510" s="45"/>
      <c r="L510" s="45" t="s">
        <v>1369</v>
      </c>
      <c r="M510" s="44" t="s">
        <v>1370</v>
      </c>
      <c r="N510" s="44" t="s">
        <v>1371</v>
      </c>
      <c r="O510" s="47"/>
      <c r="P510" s="47"/>
      <c r="Q510" s="47"/>
      <c r="R510" s="47">
        <f>TDIST(0.25,2684,2)</f>
        <v>0.8026064812</v>
      </c>
      <c r="S510" s="47">
        <f t="shared" si="80"/>
        <v>0.2499752595</v>
      </c>
      <c r="T510" s="47">
        <f t="shared" si="81"/>
        <v>0.04363064909</v>
      </c>
      <c r="U510" s="50"/>
    </row>
    <row r="511">
      <c r="A511" s="41"/>
      <c r="B511" s="42">
        <v>220.0</v>
      </c>
      <c r="C511" s="43"/>
      <c r="D511" s="41"/>
      <c r="E511" s="94"/>
      <c r="F511" s="43"/>
      <c r="G511" s="43"/>
      <c r="H511" s="43">
        <v>1.0</v>
      </c>
      <c r="I511" s="43">
        <v>1.0</v>
      </c>
      <c r="J511" s="44" t="s">
        <v>65</v>
      </c>
      <c r="K511" s="45" t="s">
        <v>1372</v>
      </c>
      <c r="L511" s="45" t="s">
        <v>1373</v>
      </c>
      <c r="M511" s="44" t="s">
        <v>1374</v>
      </c>
      <c r="N511" s="44" t="s">
        <v>119</v>
      </c>
      <c r="O511" s="47"/>
      <c r="P511" s="47"/>
      <c r="Q511" s="47"/>
      <c r="R511" s="47">
        <f>TDIST(2.95,91,2)</f>
        <v>0.004039548799</v>
      </c>
      <c r="S511" s="47">
        <f t="shared" si="80"/>
        <v>2.875056755</v>
      </c>
      <c r="T511" s="47">
        <f t="shared" si="81"/>
        <v>0.8199190821</v>
      </c>
      <c r="U511" s="50"/>
    </row>
    <row r="512">
      <c r="A512" s="41"/>
      <c r="B512" s="42">
        <v>220.0</v>
      </c>
      <c r="C512" s="43"/>
      <c r="D512" s="41"/>
      <c r="E512" s="94"/>
      <c r="F512" s="43"/>
      <c r="G512" s="43"/>
      <c r="H512" s="43">
        <v>1.0</v>
      </c>
      <c r="I512" s="43">
        <v>1.0</v>
      </c>
      <c r="J512" s="44" t="s">
        <v>990</v>
      </c>
      <c r="K512" s="45" t="s">
        <v>1375</v>
      </c>
      <c r="L512" s="45" t="s">
        <v>1376</v>
      </c>
      <c r="M512" s="44" t="s">
        <v>1377</v>
      </c>
      <c r="N512" s="44" t="s">
        <v>1378</v>
      </c>
      <c r="O512" s="47"/>
      <c r="P512" s="47"/>
      <c r="Q512" s="47"/>
      <c r="R512" s="47">
        <f>TDIST(0.7,90,2)</f>
        <v>0.4857328104</v>
      </c>
      <c r="S512" s="47">
        <f t="shared" si="80"/>
        <v>0.6971118313</v>
      </c>
      <c r="T512" s="47">
        <f t="shared" si="81"/>
        <v>0.1033146862</v>
      </c>
      <c r="U512" s="50"/>
    </row>
    <row r="513">
      <c r="A513" s="41"/>
      <c r="B513" s="83">
        <v>220.0</v>
      </c>
      <c r="C513" s="75"/>
      <c r="D513" s="76"/>
      <c r="E513" s="95"/>
      <c r="F513" s="75"/>
      <c r="G513" s="75"/>
      <c r="H513" s="75">
        <v>1.0</v>
      </c>
      <c r="I513" s="75">
        <v>1.0</v>
      </c>
      <c r="J513" s="77"/>
      <c r="K513" s="78"/>
      <c r="L513" s="78" t="s">
        <v>1379</v>
      </c>
      <c r="M513" s="77" t="s">
        <v>1380</v>
      </c>
      <c r="N513" s="77" t="s">
        <v>1381</v>
      </c>
      <c r="O513" s="80"/>
      <c r="P513" s="80"/>
      <c r="Q513" s="80"/>
      <c r="R513" s="77">
        <f>t.DIST(0.34,90,2)</f>
        <v>0.6326756188</v>
      </c>
      <c r="S513" s="225">
        <f t="shared" si="80"/>
        <v>0.4779642945</v>
      </c>
      <c r="T513" s="80">
        <f t="shared" si="81"/>
        <v>0.06916539733</v>
      </c>
      <c r="U513" s="81"/>
    </row>
    <row r="514">
      <c r="A514" s="7"/>
      <c r="B514" s="8">
        <v>221.0</v>
      </c>
      <c r="C514" s="14" t="s">
        <v>1382</v>
      </c>
      <c r="D514" s="7" t="s">
        <v>307</v>
      </c>
      <c r="E514" s="11"/>
      <c r="F514" s="8" t="s">
        <v>1383</v>
      </c>
      <c r="G514" s="8">
        <v>2005.0</v>
      </c>
      <c r="H514" s="8"/>
      <c r="I514" s="8"/>
      <c r="J514" s="84"/>
      <c r="K514" s="16"/>
      <c r="L514" s="13"/>
      <c r="M514" s="15"/>
      <c r="N514" s="15"/>
      <c r="O514" s="15"/>
      <c r="P514" s="15"/>
      <c r="Q514" s="15"/>
      <c r="R514" s="226" t="s">
        <v>728</v>
      </c>
      <c r="S514" s="15"/>
      <c r="T514" s="15"/>
      <c r="U514" s="16"/>
    </row>
    <row r="515">
      <c r="A515" s="41">
        <v>1.0</v>
      </c>
      <c r="B515" s="86">
        <v>222.0</v>
      </c>
      <c r="C515" s="87" t="s">
        <v>1384</v>
      </c>
      <c r="D515" s="88" t="s">
        <v>48</v>
      </c>
      <c r="E515" s="219"/>
      <c r="F515" s="89" t="s">
        <v>1385</v>
      </c>
      <c r="G515" s="89">
        <v>2009.0</v>
      </c>
      <c r="H515" s="89"/>
      <c r="I515" s="89">
        <v>1.0</v>
      </c>
      <c r="J515" s="90" t="s">
        <v>199</v>
      </c>
      <c r="K515" s="91" t="s">
        <v>1386</v>
      </c>
      <c r="L515" s="91" t="s">
        <v>1387</v>
      </c>
      <c r="M515" s="90" t="s">
        <v>1388</v>
      </c>
      <c r="N515" s="90" t="s">
        <v>169</v>
      </c>
      <c r="O515" s="92"/>
      <c r="P515" s="90" t="s">
        <v>1389</v>
      </c>
      <c r="Q515" s="92"/>
      <c r="R515" s="92">
        <f>FDIST(8.93,1,158)</f>
        <v>0.003253702897</v>
      </c>
      <c r="S515" s="92">
        <f t="shared" ref="S515:S519" si="82">NORMINV(1-R515/2,0,1)</f>
        <v>2.942693583</v>
      </c>
      <c r="T515" s="47">
        <f t="shared" ref="T515:T519" si="83">NORMDIST(S515,1.96,1,TRUE)</f>
        <v>0.8371208651</v>
      </c>
      <c r="U515" s="93"/>
    </row>
    <row r="516">
      <c r="A516" s="41"/>
      <c r="B516" s="42">
        <v>222.0</v>
      </c>
      <c r="C516" s="43"/>
      <c r="D516" s="41"/>
      <c r="E516" s="94"/>
      <c r="F516" s="43"/>
      <c r="G516" s="43"/>
      <c r="H516" s="43"/>
      <c r="I516" s="43">
        <v>1.0</v>
      </c>
      <c r="J516" s="44" t="s">
        <v>206</v>
      </c>
      <c r="K516" s="122" t="s">
        <v>1390</v>
      </c>
      <c r="L516" s="45" t="s">
        <v>1391</v>
      </c>
      <c r="M516" s="96" t="s">
        <v>1392</v>
      </c>
      <c r="N516" s="44" t="s">
        <v>275</v>
      </c>
      <c r="O516" s="47"/>
      <c r="P516" s="47"/>
      <c r="Q516" s="47"/>
      <c r="R516" s="47">
        <f>FDIST(3.03,1,158)</f>
        <v>0.08368477257</v>
      </c>
      <c r="S516" s="47">
        <f t="shared" si="82"/>
        <v>1.729695056</v>
      </c>
      <c r="T516" s="47">
        <f t="shared" si="83"/>
        <v>0.4089274097</v>
      </c>
      <c r="U516" s="50"/>
    </row>
    <row r="517">
      <c r="A517" s="41"/>
      <c r="B517" s="42">
        <v>222.0</v>
      </c>
      <c r="C517" s="43"/>
      <c r="D517" s="41"/>
      <c r="E517" s="94"/>
      <c r="F517" s="43"/>
      <c r="G517" s="43"/>
      <c r="H517" s="43"/>
      <c r="I517" s="43">
        <v>1.0</v>
      </c>
      <c r="J517" s="44" t="s">
        <v>210</v>
      </c>
      <c r="K517" s="45" t="s">
        <v>1393</v>
      </c>
      <c r="L517" s="45" t="s">
        <v>1394</v>
      </c>
      <c r="M517" s="44" t="s">
        <v>1395</v>
      </c>
      <c r="N517" s="44" t="s">
        <v>169</v>
      </c>
      <c r="O517" s="47"/>
      <c r="P517" s="44" t="s">
        <v>1396</v>
      </c>
      <c r="Q517" s="47"/>
      <c r="R517" s="47">
        <f>FDIST(9.03,1,158)</f>
        <v>0.003089624411</v>
      </c>
      <c r="S517" s="47">
        <f t="shared" si="82"/>
        <v>2.958677312</v>
      </c>
      <c r="T517" s="47">
        <f t="shared" si="83"/>
        <v>0.8410244825</v>
      </c>
      <c r="U517" s="50"/>
    </row>
    <row r="518">
      <c r="A518" s="41"/>
      <c r="B518" s="42">
        <v>222.0</v>
      </c>
      <c r="C518" s="43"/>
      <c r="D518" s="41"/>
      <c r="E518" s="94"/>
      <c r="F518" s="43"/>
      <c r="G518" s="43"/>
      <c r="H518" s="43"/>
      <c r="I518" s="43">
        <v>1.0</v>
      </c>
      <c r="J518" s="44">
        <v>2.0</v>
      </c>
      <c r="K518" s="45" t="s">
        <v>1397</v>
      </c>
      <c r="L518" s="45" t="s">
        <v>1398</v>
      </c>
      <c r="M518" s="44" t="s">
        <v>1399</v>
      </c>
      <c r="N518" s="44" t="s">
        <v>169</v>
      </c>
      <c r="O518" s="47"/>
      <c r="P518" s="44" t="s">
        <v>1400</v>
      </c>
      <c r="Q518" s="47"/>
      <c r="R518" s="47">
        <f>TDIST(0.25,2684,2)</f>
        <v>0.8026064812</v>
      </c>
      <c r="S518" s="47">
        <f t="shared" si="82"/>
        <v>0.2499752595</v>
      </c>
      <c r="T518" s="47">
        <f t="shared" si="83"/>
        <v>0.04363064909</v>
      </c>
      <c r="U518" s="50"/>
    </row>
    <row r="519">
      <c r="A519" s="68"/>
      <c r="B519" s="69">
        <v>222.0</v>
      </c>
      <c r="C519" s="70"/>
      <c r="D519" s="68"/>
      <c r="E519" s="220"/>
      <c r="F519" s="70"/>
      <c r="G519" s="70"/>
      <c r="H519" s="70">
        <v>1.0</v>
      </c>
      <c r="I519" s="70">
        <v>1.0</v>
      </c>
      <c r="J519" s="71">
        <v>3.0</v>
      </c>
      <c r="K519" s="61" t="s">
        <v>1401</v>
      </c>
      <c r="L519" s="61" t="s">
        <v>1402</v>
      </c>
      <c r="M519" s="71" t="s">
        <v>1403</v>
      </c>
      <c r="N519" s="71" t="s">
        <v>169</v>
      </c>
      <c r="O519" s="72"/>
      <c r="P519" s="72"/>
      <c r="Q519" s="72"/>
      <c r="R519" s="72">
        <f>FDIST(4.21,1,158)</f>
        <v>0.04183692631</v>
      </c>
      <c r="S519" s="72">
        <f t="shared" si="82"/>
        <v>2.035138626</v>
      </c>
      <c r="T519" s="72">
        <f t="shared" si="83"/>
        <v>0.5299477921</v>
      </c>
      <c r="U519" s="73"/>
    </row>
    <row r="520">
      <c r="A520" s="22"/>
      <c r="B520" s="104">
        <v>222.0</v>
      </c>
      <c r="C520" s="105"/>
      <c r="D520" s="106"/>
      <c r="E520" s="129"/>
      <c r="F520" s="105"/>
      <c r="G520" s="105"/>
      <c r="H520" s="105"/>
      <c r="I520" s="105">
        <v>1.0</v>
      </c>
      <c r="J520" s="107">
        <v>4.0</v>
      </c>
      <c r="K520" s="108" t="s">
        <v>1404</v>
      </c>
      <c r="L520" s="109"/>
      <c r="M520" s="110"/>
      <c r="N520" s="110"/>
      <c r="O520" s="110"/>
      <c r="P520" s="110"/>
      <c r="Q520" s="110"/>
      <c r="R520" s="110"/>
      <c r="S520" s="110"/>
      <c r="T520" s="110"/>
      <c r="U520" s="111"/>
    </row>
    <row r="521">
      <c r="A521" s="7"/>
      <c r="B521" s="8">
        <v>223.0</v>
      </c>
      <c r="C521" s="14" t="s">
        <v>1405</v>
      </c>
      <c r="D521" s="7" t="s">
        <v>1257</v>
      </c>
      <c r="E521" s="11"/>
      <c r="F521" s="8" t="s">
        <v>1406</v>
      </c>
      <c r="G521" s="8">
        <v>2002.0</v>
      </c>
      <c r="H521" s="8"/>
      <c r="I521" s="8"/>
      <c r="J521" s="8"/>
      <c r="K521" s="16"/>
      <c r="L521" s="13"/>
      <c r="M521" s="15"/>
      <c r="N521" s="15"/>
      <c r="O521" s="15"/>
      <c r="P521" s="15"/>
      <c r="Q521" s="15"/>
      <c r="R521" s="15"/>
      <c r="S521" s="15"/>
      <c r="T521" s="15"/>
      <c r="U521" s="16"/>
    </row>
    <row r="522">
      <c r="A522" s="7"/>
      <c r="B522" s="8">
        <v>224.0</v>
      </c>
      <c r="C522" s="14" t="s">
        <v>1407</v>
      </c>
      <c r="D522" s="7" t="s">
        <v>698</v>
      </c>
      <c r="E522" s="11"/>
      <c r="F522" s="8" t="s">
        <v>1408</v>
      </c>
      <c r="G522" s="8">
        <v>2004.0</v>
      </c>
      <c r="H522" s="8"/>
      <c r="I522" s="8"/>
      <c r="J522" s="8"/>
      <c r="K522" s="16"/>
      <c r="L522" s="13"/>
      <c r="M522" s="15"/>
      <c r="N522" s="15"/>
      <c r="O522" s="15"/>
      <c r="P522" s="15"/>
      <c r="Q522" s="15"/>
      <c r="R522" s="15"/>
      <c r="S522" s="15"/>
      <c r="T522" s="15"/>
      <c r="U522" s="16"/>
    </row>
    <row r="523">
      <c r="A523" s="7"/>
      <c r="B523" s="8">
        <v>225.0</v>
      </c>
      <c r="C523" s="14" t="s">
        <v>1409</v>
      </c>
      <c r="D523" s="7" t="s">
        <v>307</v>
      </c>
      <c r="E523" s="11"/>
      <c r="F523" s="8" t="s">
        <v>1410</v>
      </c>
      <c r="G523" s="8">
        <v>2009.0</v>
      </c>
      <c r="H523" s="8"/>
      <c r="I523" s="8"/>
      <c r="J523" s="8"/>
      <c r="K523" s="16"/>
      <c r="L523" s="13"/>
      <c r="M523" s="15"/>
      <c r="N523" s="15"/>
      <c r="O523" s="15"/>
      <c r="P523" s="15"/>
      <c r="Q523" s="15"/>
      <c r="R523" s="15"/>
      <c r="S523" s="15"/>
      <c r="T523" s="15"/>
      <c r="U523" s="16"/>
    </row>
    <row r="524">
      <c r="A524" s="7"/>
      <c r="B524" s="8">
        <v>226.0</v>
      </c>
      <c r="C524" s="14" t="s">
        <v>1411</v>
      </c>
      <c r="D524" s="7" t="s">
        <v>307</v>
      </c>
      <c r="E524" s="11"/>
      <c r="F524" s="8" t="s">
        <v>1278</v>
      </c>
      <c r="G524" s="8">
        <v>2005.0</v>
      </c>
      <c r="H524" s="8"/>
      <c r="I524" s="8"/>
      <c r="J524" s="8"/>
      <c r="K524" s="16"/>
      <c r="L524" s="13"/>
      <c r="M524" s="15"/>
      <c r="N524" s="15"/>
      <c r="O524" s="15"/>
      <c r="P524" s="15"/>
      <c r="Q524" s="15"/>
      <c r="R524" s="15"/>
      <c r="S524" s="15"/>
      <c r="T524" s="15"/>
      <c r="U524" s="16"/>
    </row>
    <row r="525">
      <c r="A525" s="7"/>
      <c r="B525" s="8">
        <v>227.0</v>
      </c>
      <c r="C525" s="14" t="s">
        <v>1412</v>
      </c>
      <c r="D525" s="7" t="s">
        <v>1257</v>
      </c>
      <c r="E525" s="11"/>
      <c r="F525" s="8" t="s">
        <v>1413</v>
      </c>
      <c r="G525" s="8">
        <v>2012.0</v>
      </c>
      <c r="H525" s="8"/>
      <c r="I525" s="8"/>
      <c r="J525" s="8"/>
      <c r="K525" s="16"/>
      <c r="L525" s="13"/>
      <c r="M525" s="15"/>
      <c r="N525" s="15"/>
      <c r="O525" s="15"/>
      <c r="P525" s="15"/>
      <c r="Q525" s="15"/>
      <c r="R525" s="15"/>
      <c r="S525" s="15"/>
      <c r="T525" s="15"/>
      <c r="U525" s="16"/>
    </row>
    <row r="526">
      <c r="A526" s="7"/>
      <c r="B526" s="8">
        <v>228.0</v>
      </c>
      <c r="C526" s="14" t="s">
        <v>1414</v>
      </c>
      <c r="D526" s="7" t="s">
        <v>307</v>
      </c>
      <c r="E526" s="11"/>
      <c r="F526" s="8" t="s">
        <v>1415</v>
      </c>
      <c r="G526" s="8">
        <v>2011.0</v>
      </c>
      <c r="H526" s="8"/>
      <c r="I526" s="8"/>
      <c r="J526" s="8"/>
      <c r="K526" s="16"/>
      <c r="L526" s="13"/>
      <c r="M526" s="15"/>
      <c r="N526" s="15"/>
      <c r="O526" s="15"/>
      <c r="P526" s="15"/>
      <c r="Q526" s="15"/>
      <c r="R526" s="15"/>
      <c r="S526" s="15"/>
      <c r="T526" s="15"/>
      <c r="U526" s="16"/>
    </row>
    <row r="527">
      <c r="A527" s="41">
        <v>1.0</v>
      </c>
      <c r="B527" s="86">
        <v>229.0</v>
      </c>
      <c r="C527" s="87" t="s">
        <v>1416</v>
      </c>
      <c r="D527" s="88" t="s">
        <v>48</v>
      </c>
      <c r="E527" s="88" t="s">
        <v>32</v>
      </c>
      <c r="F527" s="89" t="s">
        <v>1417</v>
      </c>
      <c r="G527" s="89">
        <v>2005.0</v>
      </c>
      <c r="H527" s="89">
        <v>1.0</v>
      </c>
      <c r="I527" s="89">
        <v>1.0</v>
      </c>
      <c r="J527" s="227" t="s">
        <v>199</v>
      </c>
      <c r="K527" s="91" t="s">
        <v>1418</v>
      </c>
      <c r="L527" s="91" t="s">
        <v>1419</v>
      </c>
      <c r="M527" s="90" t="s">
        <v>1420</v>
      </c>
      <c r="N527" s="90" t="s">
        <v>1421</v>
      </c>
      <c r="O527" s="92"/>
      <c r="P527" s="92"/>
      <c r="Q527" s="92"/>
      <c r="R527" s="92">
        <f>TDIST(1.714,75,1)</f>
        <v>0.04532950633</v>
      </c>
      <c r="S527" s="92">
        <f t="shared" ref="S527:S540" si="84">NORMINV(1-R527/2,0,1)</f>
        <v>2.00158386</v>
      </c>
      <c r="T527" s="92">
        <f t="shared" ref="T527:T540" si="85">NORMDIST(S527,1.96,1,TRUE)</f>
        <v>0.5165847801</v>
      </c>
      <c r="U527" s="93" t="s">
        <v>1422</v>
      </c>
    </row>
    <row r="528">
      <c r="A528" s="41"/>
      <c r="B528" s="42">
        <v>229.0</v>
      </c>
      <c r="C528" s="43"/>
      <c r="D528" s="41"/>
      <c r="E528" s="41"/>
      <c r="F528" s="43"/>
      <c r="G528" s="43"/>
      <c r="H528" s="43">
        <v>1.0</v>
      </c>
      <c r="I528" s="43">
        <v>1.0</v>
      </c>
      <c r="J528" s="46" t="s">
        <v>206</v>
      </c>
      <c r="K528" s="45" t="s">
        <v>1423</v>
      </c>
      <c r="L528" s="45" t="s">
        <v>1424</v>
      </c>
      <c r="M528" s="44" t="s">
        <v>1425</v>
      </c>
      <c r="N528" s="44" t="s">
        <v>128</v>
      </c>
      <c r="O528" s="47"/>
      <c r="P528" s="47"/>
      <c r="Q528" s="47"/>
      <c r="R528" s="47">
        <f>TDIST(4.16,73,1)</f>
        <v>0.00004290200937</v>
      </c>
      <c r="S528" s="47">
        <f t="shared" si="84"/>
        <v>4.091268488</v>
      </c>
      <c r="T528" s="47">
        <f t="shared" si="85"/>
        <v>0.9834664852</v>
      </c>
      <c r="U528" s="50"/>
    </row>
    <row r="529">
      <c r="A529" s="41"/>
      <c r="B529" s="42">
        <v>229.0</v>
      </c>
      <c r="C529" s="43"/>
      <c r="D529" s="41"/>
      <c r="E529" s="41"/>
      <c r="F529" s="43"/>
      <c r="G529" s="43"/>
      <c r="H529" s="43">
        <v>1.0</v>
      </c>
      <c r="I529" s="43">
        <v>1.0</v>
      </c>
      <c r="J529" s="46">
        <v>2.0</v>
      </c>
      <c r="K529" s="45" t="s">
        <v>1426</v>
      </c>
      <c r="L529" s="45" t="s">
        <v>1427</v>
      </c>
      <c r="M529" s="44" t="s">
        <v>1428</v>
      </c>
      <c r="N529" s="123" t="s">
        <v>1429</v>
      </c>
      <c r="O529" s="47"/>
      <c r="P529" s="47"/>
      <c r="Q529" s="47"/>
      <c r="R529" s="47">
        <f>TDIST(6.067,210,1)</f>
        <v>0.000000002997159854</v>
      </c>
      <c r="S529" s="47">
        <f t="shared" si="84"/>
        <v>5.931753709</v>
      </c>
      <c r="T529" s="47">
        <f t="shared" si="85"/>
        <v>0.9999643273</v>
      </c>
      <c r="U529" s="50"/>
    </row>
    <row r="530">
      <c r="A530" s="41"/>
      <c r="B530" s="42">
        <v>229.0</v>
      </c>
      <c r="C530" s="43"/>
      <c r="D530" s="41"/>
      <c r="E530" s="41"/>
      <c r="F530" s="43"/>
      <c r="G530" s="43"/>
      <c r="H530" s="43">
        <v>1.0</v>
      </c>
      <c r="I530" s="43">
        <v>1.0</v>
      </c>
      <c r="J530" s="46" t="s">
        <v>53</v>
      </c>
      <c r="K530" s="45" t="s">
        <v>1430</v>
      </c>
      <c r="L530" s="45" t="s">
        <v>1431</v>
      </c>
      <c r="M530" s="44" t="s">
        <v>1432</v>
      </c>
      <c r="N530" s="44" t="s">
        <v>128</v>
      </c>
      <c r="O530" s="47"/>
      <c r="P530" s="47"/>
      <c r="Q530" s="47"/>
      <c r="R530" s="47">
        <f>TDIST(7.24,73,2)</f>
        <v>0.0000000003729940801</v>
      </c>
      <c r="S530" s="47">
        <f t="shared" si="84"/>
        <v>6.264929515</v>
      </c>
      <c r="T530" s="47">
        <f t="shared" si="85"/>
        <v>0.9999916481</v>
      </c>
      <c r="U530" s="50"/>
    </row>
    <row r="531">
      <c r="A531" s="41"/>
      <c r="B531" s="42">
        <v>229.0</v>
      </c>
      <c r="C531" s="43"/>
      <c r="D531" s="41"/>
      <c r="E531" s="41"/>
      <c r="F531" s="43"/>
      <c r="G531" s="43"/>
      <c r="H531" s="43">
        <v>1.0</v>
      </c>
      <c r="I531" s="43">
        <v>1.0</v>
      </c>
      <c r="J531" s="46" t="s">
        <v>65</v>
      </c>
      <c r="K531" s="45" t="s">
        <v>1433</v>
      </c>
      <c r="L531" s="45" t="s">
        <v>1434</v>
      </c>
      <c r="M531" s="123" t="s">
        <v>1435</v>
      </c>
      <c r="N531" s="123" t="s">
        <v>128</v>
      </c>
      <c r="O531" s="47"/>
      <c r="P531" s="47"/>
      <c r="Q531" s="47"/>
      <c r="R531" s="47">
        <f>TDIST(5.31,75,1)</f>
        <v>0.0000005397350635</v>
      </c>
      <c r="S531" s="47">
        <f t="shared" si="84"/>
        <v>5.011620726</v>
      </c>
      <c r="T531" s="47">
        <f t="shared" si="85"/>
        <v>0.9988619525</v>
      </c>
      <c r="U531" s="50"/>
    </row>
    <row r="532">
      <c r="A532" s="41"/>
      <c r="B532" s="42">
        <v>229.0</v>
      </c>
      <c r="C532" s="43"/>
      <c r="D532" s="41"/>
      <c r="E532" s="41"/>
      <c r="F532" s="43"/>
      <c r="G532" s="43"/>
      <c r="H532" s="43">
        <v>1.0</v>
      </c>
      <c r="I532" s="43">
        <v>1.0</v>
      </c>
      <c r="J532" s="46" t="s">
        <v>130</v>
      </c>
      <c r="K532" s="45" t="s">
        <v>1436</v>
      </c>
      <c r="L532" s="45" t="s">
        <v>1437</v>
      </c>
      <c r="M532" s="44" t="s">
        <v>1438</v>
      </c>
      <c r="N532" s="44" t="s">
        <v>1439</v>
      </c>
      <c r="O532" s="47"/>
      <c r="P532" s="47"/>
      <c r="Q532" s="47"/>
      <c r="R532" s="47">
        <f>FDIST(0.76,1,207)</f>
        <v>0.3843385269</v>
      </c>
      <c r="S532" s="47">
        <f t="shared" si="84"/>
        <v>0.8699302422</v>
      </c>
      <c r="T532" s="47">
        <f t="shared" si="85"/>
        <v>0.1378412084</v>
      </c>
      <c r="U532" s="50"/>
    </row>
    <row r="533">
      <c r="A533" s="41"/>
      <c r="B533" s="42">
        <v>229.0</v>
      </c>
      <c r="C533" s="43"/>
      <c r="D533" s="41"/>
      <c r="E533" s="41"/>
      <c r="F533" s="43"/>
      <c r="G533" s="43"/>
      <c r="H533" s="43">
        <v>1.0</v>
      </c>
      <c r="I533" s="43">
        <v>1.0</v>
      </c>
      <c r="J533" s="46" t="s">
        <v>134</v>
      </c>
      <c r="K533" s="45" t="s">
        <v>1440</v>
      </c>
      <c r="L533" s="45" t="s">
        <v>1441</v>
      </c>
      <c r="M533" s="44" t="s">
        <v>1442</v>
      </c>
      <c r="N533" s="44" t="s">
        <v>1443</v>
      </c>
      <c r="O533" s="47"/>
      <c r="P533" s="44" t="s">
        <v>1444</v>
      </c>
      <c r="Q533" s="47"/>
      <c r="R533" s="47">
        <f>FDIST(1.68,2,207)</f>
        <v>0.1889050087</v>
      </c>
      <c r="S533" s="47">
        <f t="shared" si="84"/>
        <v>1.313825278</v>
      </c>
      <c r="T533" s="47">
        <f t="shared" si="85"/>
        <v>0.2590831039</v>
      </c>
      <c r="U533" s="50"/>
    </row>
    <row r="534">
      <c r="A534" s="41">
        <v>1.0</v>
      </c>
      <c r="B534" s="42">
        <v>229.0</v>
      </c>
      <c r="C534" s="43"/>
      <c r="D534" s="41"/>
      <c r="E534" s="41"/>
      <c r="F534" s="43"/>
      <c r="G534" s="43"/>
      <c r="H534" s="43">
        <v>2.0</v>
      </c>
      <c r="I534" s="43">
        <v>2.0</v>
      </c>
      <c r="J534" s="46" t="s">
        <v>199</v>
      </c>
      <c r="K534" s="45" t="s">
        <v>1418</v>
      </c>
      <c r="L534" s="45" t="s">
        <v>1445</v>
      </c>
      <c r="M534" s="44" t="s">
        <v>1446</v>
      </c>
      <c r="N534" s="44" t="s">
        <v>128</v>
      </c>
      <c r="O534" s="47"/>
      <c r="P534" s="44"/>
      <c r="Q534" s="47"/>
      <c r="R534" s="47">
        <f>TDIST(3.44,60,1)</f>
        <v>0.0005321599318</v>
      </c>
      <c r="S534" s="47">
        <f t="shared" si="84"/>
        <v>3.46402354</v>
      </c>
      <c r="T534" s="47">
        <f t="shared" si="85"/>
        <v>0.9337123472</v>
      </c>
      <c r="U534" s="50"/>
    </row>
    <row r="535">
      <c r="A535" s="41"/>
      <c r="B535" s="42">
        <v>229.0</v>
      </c>
      <c r="C535" s="43"/>
      <c r="D535" s="41"/>
      <c r="E535" s="41"/>
      <c r="F535" s="43"/>
      <c r="G535" s="43"/>
      <c r="H535" s="43">
        <v>2.0</v>
      </c>
      <c r="I535" s="43">
        <v>2.0</v>
      </c>
      <c r="J535" s="46" t="s">
        <v>206</v>
      </c>
      <c r="K535" s="45" t="s">
        <v>1423</v>
      </c>
      <c r="L535" s="45" t="s">
        <v>1447</v>
      </c>
      <c r="M535" s="44" t="s">
        <v>1448</v>
      </c>
      <c r="N535" s="44" t="s">
        <v>119</v>
      </c>
      <c r="O535" s="47"/>
      <c r="P535" s="44"/>
      <c r="Q535" s="47"/>
      <c r="R535" s="47">
        <f>TDIST(2.54,29,1)</f>
        <v>0.0083509666</v>
      </c>
      <c r="S535" s="47">
        <f t="shared" si="84"/>
        <v>2.63754045</v>
      </c>
      <c r="T535" s="47">
        <f t="shared" si="85"/>
        <v>0.7509684427</v>
      </c>
      <c r="U535" s="50"/>
    </row>
    <row r="536">
      <c r="A536" s="41"/>
      <c r="B536" s="42">
        <v>229.0</v>
      </c>
      <c r="C536" s="43"/>
      <c r="D536" s="41"/>
      <c r="E536" s="41"/>
      <c r="F536" s="43"/>
      <c r="G536" s="43"/>
      <c r="H536" s="43">
        <v>2.0</v>
      </c>
      <c r="I536" s="43">
        <v>2.0</v>
      </c>
      <c r="J536" s="46">
        <v>2.0</v>
      </c>
      <c r="K536" s="45" t="s">
        <v>1426</v>
      </c>
      <c r="L536" s="45" t="s">
        <v>1449</v>
      </c>
      <c r="M536" s="44" t="s">
        <v>1446</v>
      </c>
      <c r="N536" s="44" t="s">
        <v>128</v>
      </c>
      <c r="O536" s="47"/>
      <c r="P536" s="44"/>
      <c r="Q536" s="47"/>
      <c r="R536" s="47">
        <f>TDIST(3.44,60,1)</f>
        <v>0.0005321599318</v>
      </c>
      <c r="S536" s="47">
        <f t="shared" si="84"/>
        <v>3.46402354</v>
      </c>
      <c r="T536" s="47">
        <f t="shared" si="85"/>
        <v>0.9337123472</v>
      </c>
      <c r="U536" s="50"/>
    </row>
    <row r="537">
      <c r="A537" s="41"/>
      <c r="B537" s="42">
        <v>229.0</v>
      </c>
      <c r="C537" s="43"/>
      <c r="D537" s="41"/>
      <c r="E537" s="41"/>
      <c r="F537" s="43"/>
      <c r="G537" s="43"/>
      <c r="H537" s="43">
        <v>2.0</v>
      </c>
      <c r="I537" s="43">
        <v>2.0</v>
      </c>
      <c r="J537" s="46" t="s">
        <v>53</v>
      </c>
      <c r="K537" s="45" t="s">
        <v>1430</v>
      </c>
      <c r="L537" s="45" t="s">
        <v>1450</v>
      </c>
      <c r="M537" s="44" t="s">
        <v>1451</v>
      </c>
      <c r="N537" s="44" t="s">
        <v>262</v>
      </c>
      <c r="O537" s="47"/>
      <c r="P537" s="44" t="s">
        <v>1452</v>
      </c>
      <c r="Q537" s="47"/>
      <c r="R537" s="47">
        <f>FDIST(3.95,1,57)</f>
        <v>0.05168359194</v>
      </c>
      <c r="S537" s="47">
        <f t="shared" si="84"/>
        <v>1.945759866</v>
      </c>
      <c r="T537" s="47">
        <f t="shared" si="85"/>
        <v>0.4943192004</v>
      </c>
      <c r="U537" s="50"/>
    </row>
    <row r="538">
      <c r="A538" s="41"/>
      <c r="B538" s="42">
        <v>229.0</v>
      </c>
      <c r="C538" s="43"/>
      <c r="D538" s="41"/>
      <c r="E538" s="41"/>
      <c r="F538" s="43"/>
      <c r="G538" s="43"/>
      <c r="H538" s="43">
        <v>2.0</v>
      </c>
      <c r="I538" s="43">
        <v>2.0</v>
      </c>
      <c r="J538" s="46" t="s">
        <v>65</v>
      </c>
      <c r="K538" s="45" t="s">
        <v>1433</v>
      </c>
      <c r="L538" s="228" t="s">
        <v>1453</v>
      </c>
      <c r="M538" s="44" t="s">
        <v>1454</v>
      </c>
      <c r="N538" s="44" t="s">
        <v>1443</v>
      </c>
      <c r="O538" s="47"/>
      <c r="P538" s="44" t="s">
        <v>1455</v>
      </c>
      <c r="Q538" s="47"/>
      <c r="R538" s="47">
        <f>FDIST(0.01,1,57)</f>
        <v>0.9206952183</v>
      </c>
      <c r="S538" s="47">
        <f t="shared" si="84"/>
        <v>0.09955802646</v>
      </c>
      <c r="T538" s="47">
        <f t="shared" si="85"/>
        <v>0.03141151045</v>
      </c>
      <c r="U538" s="50"/>
    </row>
    <row r="539">
      <c r="A539" s="41"/>
      <c r="B539" s="42">
        <v>229.0</v>
      </c>
      <c r="C539" s="43"/>
      <c r="D539" s="41"/>
      <c r="E539" s="41"/>
      <c r="F539" s="43"/>
      <c r="G539" s="43"/>
      <c r="H539" s="43">
        <v>2.0</v>
      </c>
      <c r="I539" s="43">
        <v>2.0</v>
      </c>
      <c r="J539" s="46" t="s">
        <v>130</v>
      </c>
      <c r="K539" s="45" t="s">
        <v>1436</v>
      </c>
      <c r="L539" s="45" t="s">
        <v>1456</v>
      </c>
      <c r="M539" s="44" t="s">
        <v>1457</v>
      </c>
      <c r="N539" s="44" t="s">
        <v>1458</v>
      </c>
      <c r="O539" s="47"/>
      <c r="P539" s="44"/>
      <c r="Q539" s="47"/>
      <c r="R539" s="47">
        <f>FDIST(2.29,1,57)</f>
        <v>0.1357353206</v>
      </c>
      <c r="S539" s="47">
        <f t="shared" si="84"/>
        <v>1.491862023</v>
      </c>
      <c r="T539" s="47">
        <f t="shared" si="85"/>
        <v>0.3198429614</v>
      </c>
      <c r="U539" s="50"/>
    </row>
    <row r="540">
      <c r="A540" s="41"/>
      <c r="B540" s="83">
        <v>229.0</v>
      </c>
      <c r="C540" s="75"/>
      <c r="D540" s="76"/>
      <c r="E540" s="76"/>
      <c r="F540" s="75"/>
      <c r="G540" s="75"/>
      <c r="H540" s="75">
        <v>2.0</v>
      </c>
      <c r="I540" s="75">
        <v>2.0</v>
      </c>
      <c r="J540" s="229" t="s">
        <v>134</v>
      </c>
      <c r="K540" s="78" t="s">
        <v>1440</v>
      </c>
      <c r="L540" s="78" t="s">
        <v>1459</v>
      </c>
      <c r="M540" s="208" t="s">
        <v>1460</v>
      </c>
      <c r="N540" s="77" t="s">
        <v>1461</v>
      </c>
      <c r="O540" s="80"/>
      <c r="P540" s="77"/>
      <c r="Q540" s="80"/>
      <c r="R540" s="80">
        <f>FDIST(3.143,1,57)</f>
        <v>0.08159669031</v>
      </c>
      <c r="S540" s="80">
        <f t="shared" si="84"/>
        <v>1.741495907</v>
      </c>
      <c r="T540" s="80">
        <f t="shared" si="85"/>
        <v>0.4135181848</v>
      </c>
      <c r="U540" s="81" t="s">
        <v>1462</v>
      </c>
    </row>
    <row r="541">
      <c r="A541" s="7"/>
      <c r="B541" s="8">
        <v>230.0</v>
      </c>
      <c r="C541" s="14" t="s">
        <v>1463</v>
      </c>
      <c r="D541" s="7" t="s">
        <v>1464</v>
      </c>
      <c r="E541" s="11"/>
      <c r="F541" s="8" t="s">
        <v>1465</v>
      </c>
      <c r="G541" s="8">
        <v>2015.0</v>
      </c>
      <c r="H541" s="8"/>
      <c r="I541" s="8"/>
      <c r="J541" s="8"/>
      <c r="K541" s="16"/>
      <c r="L541" s="13"/>
      <c r="M541" s="15"/>
      <c r="N541" s="15"/>
      <c r="O541" s="15"/>
      <c r="P541" s="15"/>
      <c r="Q541" s="15"/>
      <c r="R541" s="15"/>
      <c r="S541" s="15"/>
      <c r="T541" s="15"/>
      <c r="U541" s="16"/>
    </row>
    <row r="542">
      <c r="A542" s="41">
        <v>1.0</v>
      </c>
      <c r="B542" s="86">
        <v>231.0</v>
      </c>
      <c r="C542" s="87" t="s">
        <v>1466</v>
      </c>
      <c r="D542" s="88" t="s">
        <v>48</v>
      </c>
      <c r="E542" s="88" t="s">
        <v>32</v>
      </c>
      <c r="F542" s="89" t="s">
        <v>1348</v>
      </c>
      <c r="G542" s="89">
        <v>2009.0</v>
      </c>
      <c r="H542" s="89">
        <v>1.0</v>
      </c>
      <c r="I542" s="89">
        <v>1.0</v>
      </c>
      <c r="J542" s="90">
        <v>1.0</v>
      </c>
      <c r="K542" s="91" t="s">
        <v>1467</v>
      </c>
      <c r="L542" s="91" t="s">
        <v>1468</v>
      </c>
      <c r="M542" s="90" t="s">
        <v>1469</v>
      </c>
      <c r="N542" s="202" t="s">
        <v>169</v>
      </c>
      <c r="O542" s="92"/>
      <c r="P542" s="92"/>
      <c r="Q542" s="92"/>
      <c r="R542" s="92">
        <f>TDIST(2.04,102,2)</f>
        <v>0.0439348153</v>
      </c>
      <c r="S542" s="92">
        <f t="shared" ref="S542:S556" si="86">NORMINV(1-R542/2,0,1)</f>
        <v>2.014712179</v>
      </c>
      <c r="T542" s="92">
        <f t="shared" ref="T542:T556" si="87">NORMDIST(S542,1.96,1,TRUE)</f>
        <v>0.5218161169</v>
      </c>
      <c r="U542" s="200" t="s">
        <v>1470</v>
      </c>
    </row>
    <row r="543">
      <c r="A543" s="41"/>
      <c r="B543" s="42">
        <v>231.0</v>
      </c>
      <c r="C543" s="43"/>
      <c r="D543" s="41"/>
      <c r="E543" s="41"/>
      <c r="F543" s="43"/>
      <c r="G543" s="43"/>
      <c r="H543" s="43">
        <v>1.0</v>
      </c>
      <c r="I543" s="43">
        <v>1.0</v>
      </c>
      <c r="J543" s="44" t="s">
        <v>642</v>
      </c>
      <c r="K543" s="45" t="s">
        <v>1471</v>
      </c>
      <c r="L543" s="45" t="s">
        <v>1472</v>
      </c>
      <c r="M543" s="44" t="s">
        <v>1473</v>
      </c>
      <c r="N543" s="44" t="s">
        <v>275</v>
      </c>
      <c r="O543" s="47"/>
      <c r="P543" s="47"/>
      <c r="Q543" s="47"/>
      <c r="R543" s="47">
        <f>TDIST(1.44,102,2)</f>
        <v>0.1529296599</v>
      </c>
      <c r="S543" s="47">
        <f t="shared" si="86"/>
        <v>1.429259508</v>
      </c>
      <c r="T543" s="47">
        <f t="shared" si="87"/>
        <v>0.2977993112</v>
      </c>
      <c r="U543" s="50"/>
    </row>
    <row r="544">
      <c r="A544" s="41"/>
      <c r="B544" s="42">
        <v>231.0</v>
      </c>
      <c r="C544" s="43"/>
      <c r="D544" s="41"/>
      <c r="E544" s="41"/>
      <c r="F544" s="43"/>
      <c r="G544" s="43"/>
      <c r="H544" s="43">
        <v>1.0</v>
      </c>
      <c r="I544" s="43">
        <v>1.0</v>
      </c>
      <c r="J544" s="44" t="s">
        <v>644</v>
      </c>
      <c r="K544" s="45" t="s">
        <v>1474</v>
      </c>
      <c r="L544" s="45" t="s">
        <v>1475</v>
      </c>
      <c r="M544" s="123" t="s">
        <v>1476</v>
      </c>
      <c r="N544" s="123" t="s">
        <v>169</v>
      </c>
      <c r="O544" s="47"/>
      <c r="P544" s="47"/>
      <c r="Q544" s="47"/>
      <c r="R544" s="47">
        <f>TDIST(2.32,99,2)</f>
        <v>0.02239419948</v>
      </c>
      <c r="S544" s="47">
        <f t="shared" si="86"/>
        <v>2.283614455</v>
      </c>
      <c r="T544" s="47">
        <f t="shared" si="87"/>
        <v>0.6268850285</v>
      </c>
      <c r="U544" s="50"/>
    </row>
    <row r="545">
      <c r="A545" s="41"/>
      <c r="B545" s="42">
        <v>231.0</v>
      </c>
      <c r="C545" s="43"/>
      <c r="D545" s="41"/>
      <c r="E545" s="41"/>
      <c r="F545" s="43"/>
      <c r="G545" s="43"/>
      <c r="H545" s="43">
        <v>1.0</v>
      </c>
      <c r="I545" s="43">
        <v>1.0</v>
      </c>
      <c r="J545" s="44" t="s">
        <v>53</v>
      </c>
      <c r="K545" s="45" t="s">
        <v>1477</v>
      </c>
      <c r="L545" s="43" t="s">
        <v>1478</v>
      </c>
      <c r="M545" s="44" t="s">
        <v>1479</v>
      </c>
      <c r="N545" s="44" t="s">
        <v>275</v>
      </c>
      <c r="O545" s="47"/>
      <c r="P545" s="47"/>
      <c r="Q545" s="47"/>
      <c r="R545" s="47">
        <f>TDIST(0.83,102,2)</f>
        <v>0.4084771785</v>
      </c>
      <c r="S545" s="47">
        <f t="shared" si="86"/>
        <v>0.826576434</v>
      </c>
      <c r="T545" s="47">
        <f t="shared" si="87"/>
        <v>0.1285182112</v>
      </c>
      <c r="U545" s="50"/>
    </row>
    <row r="546">
      <c r="A546" s="41"/>
      <c r="B546" s="42">
        <v>231.0</v>
      </c>
      <c r="C546" s="43"/>
      <c r="D546" s="41"/>
      <c r="E546" s="41"/>
      <c r="F546" s="43"/>
      <c r="G546" s="43"/>
      <c r="H546" s="43">
        <v>1.0</v>
      </c>
      <c r="I546" s="43">
        <v>1.0</v>
      </c>
      <c r="J546" s="44" t="s">
        <v>65</v>
      </c>
      <c r="K546" s="45" t="s">
        <v>1480</v>
      </c>
      <c r="L546" s="45" t="s">
        <v>1481</v>
      </c>
      <c r="M546" s="44" t="s">
        <v>1482</v>
      </c>
      <c r="N546" s="123" t="s">
        <v>169</v>
      </c>
      <c r="O546" s="47"/>
      <c r="P546" s="47"/>
      <c r="Q546" s="47"/>
      <c r="R546" s="47">
        <f>TDIST(2.05,99,2)</f>
        <v>0.04300799961</v>
      </c>
      <c r="S546" s="47">
        <f t="shared" si="86"/>
        <v>2.023632294</v>
      </c>
      <c r="T546" s="47">
        <f t="shared" si="87"/>
        <v>0.5253684915</v>
      </c>
      <c r="U546" s="50"/>
    </row>
    <row r="547">
      <c r="A547" s="41"/>
      <c r="B547" s="42">
        <v>231.0</v>
      </c>
      <c r="C547" s="43"/>
      <c r="D547" s="41"/>
      <c r="E547" s="41"/>
      <c r="F547" s="43"/>
      <c r="G547" s="43"/>
      <c r="H547" s="43">
        <v>1.0</v>
      </c>
      <c r="I547" s="43">
        <v>1.0</v>
      </c>
      <c r="J547" s="44" t="s">
        <v>130</v>
      </c>
      <c r="K547" s="45" t="s">
        <v>1483</v>
      </c>
      <c r="L547" s="45" t="s">
        <v>1484</v>
      </c>
      <c r="M547" s="44" t="s">
        <v>1485</v>
      </c>
      <c r="N547" s="44" t="s">
        <v>275</v>
      </c>
      <c r="O547" s="47"/>
      <c r="P547" s="47"/>
      <c r="Q547" s="47"/>
      <c r="R547" s="47">
        <f>TDIST(0.13,102,2)</f>
        <v>0.8968224541</v>
      </c>
      <c r="S547" s="47">
        <f t="shared" si="86"/>
        <v>0.1296764011</v>
      </c>
      <c r="T547" s="47">
        <f t="shared" si="87"/>
        <v>0.0336007823</v>
      </c>
      <c r="U547" s="50"/>
    </row>
    <row r="548">
      <c r="A548" s="41"/>
      <c r="B548" s="42">
        <v>231.0</v>
      </c>
      <c r="C548" s="43"/>
      <c r="D548" s="41"/>
      <c r="E548" s="41"/>
      <c r="F548" s="43"/>
      <c r="G548" s="43"/>
      <c r="H548" s="43">
        <v>1.0</v>
      </c>
      <c r="I548" s="43">
        <v>1.0</v>
      </c>
      <c r="J548" s="44" t="s">
        <v>134</v>
      </c>
      <c r="K548" s="45" t="s">
        <v>1486</v>
      </c>
      <c r="L548" s="45" t="s">
        <v>1487</v>
      </c>
      <c r="M548" s="44" t="s">
        <v>1488</v>
      </c>
      <c r="N548" s="123" t="s">
        <v>169</v>
      </c>
      <c r="O548" s="47"/>
      <c r="P548" s="47"/>
      <c r="Q548" s="47"/>
      <c r="R548" s="47">
        <f>TDIST(2.05,102,2)</f>
        <v>0.04292982169</v>
      </c>
      <c r="S548" s="47">
        <f t="shared" si="86"/>
        <v>2.024392121</v>
      </c>
      <c r="T548" s="47">
        <f t="shared" si="87"/>
        <v>0.5256709984</v>
      </c>
      <c r="U548" s="50"/>
    </row>
    <row r="549">
      <c r="A549" s="41"/>
      <c r="B549" s="42">
        <v>231.0</v>
      </c>
      <c r="C549" s="43"/>
      <c r="D549" s="41"/>
      <c r="E549" s="41"/>
      <c r="F549" s="43"/>
      <c r="G549" s="43"/>
      <c r="H549" s="43">
        <v>1.0</v>
      </c>
      <c r="I549" s="43">
        <v>1.0</v>
      </c>
      <c r="J549" s="44" t="s">
        <v>1121</v>
      </c>
      <c r="K549" s="45" t="s">
        <v>1489</v>
      </c>
      <c r="L549" s="45" t="s">
        <v>1490</v>
      </c>
      <c r="M549" s="44" t="s">
        <v>1491</v>
      </c>
      <c r="N549" s="44" t="s">
        <v>275</v>
      </c>
      <c r="O549" s="47"/>
      <c r="P549" s="47"/>
      <c r="Q549" s="47"/>
      <c r="R549" s="47">
        <f>TDIST(1.44,102,2)</f>
        <v>0.1529296599</v>
      </c>
      <c r="S549" s="47">
        <f t="shared" si="86"/>
        <v>1.429259508</v>
      </c>
      <c r="T549" s="47">
        <f t="shared" si="87"/>
        <v>0.2977993112</v>
      </c>
      <c r="U549" s="50"/>
    </row>
    <row r="550">
      <c r="A550" s="41">
        <v>1.0</v>
      </c>
      <c r="B550" s="42">
        <v>231.0</v>
      </c>
      <c r="C550" s="43"/>
      <c r="D550" s="41"/>
      <c r="E550" s="41"/>
      <c r="F550" s="43"/>
      <c r="G550" s="43"/>
      <c r="H550" s="43">
        <v>2.0</v>
      </c>
      <c r="I550" s="43">
        <v>2.0</v>
      </c>
      <c r="J550" s="44">
        <v>1.0</v>
      </c>
      <c r="K550" s="45" t="s">
        <v>1467</v>
      </c>
      <c r="L550" s="45" t="s">
        <v>1492</v>
      </c>
      <c r="M550" s="44" t="s">
        <v>1493</v>
      </c>
      <c r="N550" s="44" t="s">
        <v>169</v>
      </c>
      <c r="O550" s="47"/>
      <c r="P550" s="47"/>
      <c r="Q550" s="47"/>
      <c r="R550" s="47">
        <f>TDIST(2.05,336,2)</f>
        <v>0.04114016641</v>
      </c>
      <c r="S550" s="47">
        <f t="shared" si="86"/>
        <v>2.042114584</v>
      </c>
      <c r="T550" s="47">
        <f t="shared" si="87"/>
        <v>0.5327222021</v>
      </c>
      <c r="U550" s="50"/>
    </row>
    <row r="551">
      <c r="A551" s="41"/>
      <c r="B551" s="42">
        <v>231.0</v>
      </c>
      <c r="C551" s="43"/>
      <c r="D551" s="41"/>
      <c r="E551" s="41"/>
      <c r="F551" s="43"/>
      <c r="G551" s="43"/>
      <c r="H551" s="43">
        <v>2.0</v>
      </c>
      <c r="I551" s="43">
        <v>2.0</v>
      </c>
      <c r="J551" s="44" t="s">
        <v>642</v>
      </c>
      <c r="K551" s="45" t="s">
        <v>1471</v>
      </c>
      <c r="L551" s="45" t="s">
        <v>1494</v>
      </c>
      <c r="M551" s="44" t="s">
        <v>1495</v>
      </c>
      <c r="N551" s="123" t="s">
        <v>169</v>
      </c>
      <c r="O551" s="47"/>
      <c r="P551" s="47"/>
      <c r="Q551" s="47"/>
      <c r="R551" s="47">
        <f>TDIST(2.34,111,2)</f>
        <v>0.02107108075</v>
      </c>
      <c r="S551" s="47">
        <f t="shared" si="86"/>
        <v>2.306708416</v>
      </c>
      <c r="T551" s="47">
        <f t="shared" si="87"/>
        <v>0.6355948067</v>
      </c>
      <c r="U551" s="50"/>
    </row>
    <row r="552">
      <c r="A552" s="41"/>
      <c r="B552" s="42">
        <v>231.0</v>
      </c>
      <c r="C552" s="43"/>
      <c r="D552" s="41"/>
      <c r="E552" s="41"/>
      <c r="F552" s="43"/>
      <c r="G552" s="43"/>
      <c r="H552" s="43">
        <v>2.0</v>
      </c>
      <c r="I552" s="43">
        <v>2.0</v>
      </c>
      <c r="J552" s="44" t="s">
        <v>644</v>
      </c>
      <c r="K552" s="45" t="s">
        <v>1474</v>
      </c>
      <c r="L552" s="45" t="s">
        <v>1496</v>
      </c>
      <c r="M552" s="123" t="s">
        <v>1497</v>
      </c>
      <c r="N552" s="44" t="s">
        <v>275</v>
      </c>
      <c r="O552" s="47"/>
      <c r="P552" s="47"/>
      <c r="Q552" s="47"/>
      <c r="R552" s="47">
        <f>TDIST(0.16,336,2)</f>
        <v>0.8729772166</v>
      </c>
      <c r="S552" s="47">
        <f t="shared" si="86"/>
        <v>0.1598779523</v>
      </c>
      <c r="T552" s="47">
        <f t="shared" si="87"/>
        <v>0.03592068449</v>
      </c>
      <c r="U552" s="50"/>
    </row>
    <row r="553">
      <c r="A553" s="41"/>
      <c r="B553" s="42">
        <v>231.0</v>
      </c>
      <c r="C553" s="43"/>
      <c r="D553" s="41"/>
      <c r="E553" s="41"/>
      <c r="F553" s="43"/>
      <c r="G553" s="43"/>
      <c r="H553" s="43">
        <v>2.0</v>
      </c>
      <c r="I553" s="43">
        <v>2.0</v>
      </c>
      <c r="J553" s="44" t="s">
        <v>53</v>
      </c>
      <c r="K553" s="45" t="s">
        <v>1477</v>
      </c>
      <c r="L553" s="45" t="s">
        <v>1498</v>
      </c>
      <c r="M553" s="44" t="s">
        <v>1499</v>
      </c>
      <c r="N553" s="123" t="s">
        <v>169</v>
      </c>
      <c r="O553" s="47"/>
      <c r="P553" s="47"/>
      <c r="Q553" s="47"/>
      <c r="R553" s="47">
        <f>TDIST(2.26,111,2)</f>
        <v>0.02577253934</v>
      </c>
      <c r="S553" s="47">
        <f t="shared" si="86"/>
        <v>2.22962213</v>
      </c>
      <c r="T553" s="47">
        <f t="shared" si="87"/>
        <v>0.6062745133</v>
      </c>
      <c r="U553" s="50"/>
    </row>
    <row r="554">
      <c r="A554" s="41"/>
      <c r="B554" s="42">
        <v>231.0</v>
      </c>
      <c r="C554" s="43"/>
      <c r="D554" s="41"/>
      <c r="E554" s="41"/>
      <c r="F554" s="43"/>
      <c r="G554" s="43"/>
      <c r="H554" s="43">
        <v>2.0</v>
      </c>
      <c r="I554" s="43">
        <v>2.0</v>
      </c>
      <c r="J554" s="44" t="s">
        <v>65</v>
      </c>
      <c r="K554" s="45" t="s">
        <v>1480</v>
      </c>
      <c r="L554" s="45" t="s">
        <v>1500</v>
      </c>
      <c r="M554" s="44" t="s">
        <v>1501</v>
      </c>
      <c r="N554" s="44" t="s">
        <v>275</v>
      </c>
      <c r="O554" s="47"/>
      <c r="P554" s="47"/>
      <c r="Q554" s="47"/>
      <c r="R554" s="47">
        <f>TDIST(0.05,336,2)</f>
        <v>0.9601520974</v>
      </c>
      <c r="S554" s="47">
        <f t="shared" si="86"/>
        <v>0.04996271865</v>
      </c>
      <c r="T554" s="47">
        <f t="shared" si="87"/>
        <v>0.02806420666</v>
      </c>
      <c r="U554" s="50"/>
    </row>
    <row r="555">
      <c r="A555" s="41"/>
      <c r="B555" s="42">
        <v>231.0</v>
      </c>
      <c r="C555" s="43"/>
      <c r="D555" s="41"/>
      <c r="E555" s="41"/>
      <c r="F555" s="43"/>
      <c r="G555" s="43"/>
      <c r="H555" s="43">
        <v>2.0</v>
      </c>
      <c r="I555" s="43">
        <v>2.0</v>
      </c>
      <c r="J555" s="44" t="s">
        <v>130</v>
      </c>
      <c r="K555" s="45" t="s">
        <v>1483</v>
      </c>
      <c r="L555" s="45" t="s">
        <v>1502</v>
      </c>
      <c r="M555" s="44" t="s">
        <v>1503</v>
      </c>
      <c r="N555" s="123" t="s">
        <v>169</v>
      </c>
      <c r="O555" s="47"/>
      <c r="P555" s="47"/>
      <c r="Q555" s="47"/>
      <c r="R555" s="47">
        <f>TDIST(2.02,328,2)</f>
        <v>0.04419601875</v>
      </c>
      <c r="S555" s="47">
        <f t="shared" si="86"/>
        <v>2.012226951</v>
      </c>
      <c r="T555" s="47">
        <f t="shared" si="87"/>
        <v>0.5208260706</v>
      </c>
      <c r="U555" s="50"/>
    </row>
    <row r="556">
      <c r="A556" s="41"/>
      <c r="B556" s="42">
        <v>231.0</v>
      </c>
      <c r="C556" s="43"/>
      <c r="D556" s="41"/>
      <c r="E556" s="41"/>
      <c r="F556" s="43"/>
      <c r="G556" s="43"/>
      <c r="H556" s="43">
        <v>2.0</v>
      </c>
      <c r="I556" s="43">
        <v>2.0</v>
      </c>
      <c r="J556" s="44" t="s">
        <v>134</v>
      </c>
      <c r="K556" s="45" t="s">
        <v>1486</v>
      </c>
      <c r="L556" s="45" t="s">
        <v>1504</v>
      </c>
      <c r="M556" s="44" t="s">
        <v>1505</v>
      </c>
      <c r="N556" s="44" t="s">
        <v>275</v>
      </c>
      <c r="O556" s="47"/>
      <c r="P556" s="47"/>
      <c r="Q556" s="47"/>
      <c r="R556" s="47">
        <f>TDIST(0.31,336,2)</f>
        <v>0.7567531372</v>
      </c>
      <c r="S556" s="47">
        <f t="shared" si="86"/>
        <v>0.3097472905</v>
      </c>
      <c r="T556" s="47">
        <f t="shared" si="87"/>
        <v>0.04944563011</v>
      </c>
      <c r="U556" s="50"/>
    </row>
    <row r="557">
      <c r="A557" s="22"/>
      <c r="B557" s="74">
        <v>231.0</v>
      </c>
      <c r="C557" s="62"/>
      <c r="D557" s="22"/>
      <c r="E557" s="22"/>
      <c r="F557" s="62"/>
      <c r="G557" s="62"/>
      <c r="H557" s="62"/>
      <c r="I557" s="62">
        <v>2.0</v>
      </c>
      <c r="J557" s="63" t="s">
        <v>1121</v>
      </c>
      <c r="K557" s="64" t="s">
        <v>1489</v>
      </c>
      <c r="L557" s="64" t="s">
        <v>724</v>
      </c>
      <c r="M557" s="66"/>
      <c r="N557" s="66"/>
      <c r="O557" s="66"/>
      <c r="P557" s="66"/>
      <c r="Q557" s="66"/>
      <c r="R557" s="66"/>
      <c r="S557" s="66"/>
      <c r="T557" s="66"/>
      <c r="U557" s="67"/>
    </row>
    <row r="558">
      <c r="A558" s="41"/>
      <c r="B558" s="42">
        <v>231.0</v>
      </c>
      <c r="C558" s="43"/>
      <c r="D558" s="41"/>
      <c r="E558" s="41"/>
      <c r="F558" s="43"/>
      <c r="G558" s="43"/>
      <c r="H558" s="43">
        <v>2.0</v>
      </c>
      <c r="I558" s="43">
        <v>2.0</v>
      </c>
      <c r="J558" s="44">
        <v>5.0</v>
      </c>
      <c r="K558" s="45" t="s">
        <v>1506</v>
      </c>
      <c r="L558" s="45" t="s">
        <v>1507</v>
      </c>
      <c r="M558" s="44" t="s">
        <v>1505</v>
      </c>
      <c r="N558" s="44" t="s">
        <v>275</v>
      </c>
      <c r="O558" s="47"/>
      <c r="P558" s="47"/>
      <c r="Q558" s="47"/>
      <c r="R558" s="47">
        <f>TDIST(0.31,336,2)</f>
        <v>0.7567531372</v>
      </c>
      <c r="S558" s="47">
        <f t="shared" ref="S558:S560" si="88">NORMINV(1-R558/2,0,1)</f>
        <v>0.3097472905</v>
      </c>
      <c r="T558" s="47">
        <f t="shared" ref="T558:T560" si="89">NORMDIST(S558,1.96,1,TRUE)</f>
        <v>0.04944563011</v>
      </c>
      <c r="U558" s="50"/>
    </row>
    <row r="559">
      <c r="A559" s="41"/>
      <c r="B559" s="42">
        <v>231.0</v>
      </c>
      <c r="C559" s="43"/>
      <c r="D559" s="41"/>
      <c r="E559" s="41"/>
      <c r="F559" s="43"/>
      <c r="G559" s="43"/>
      <c r="H559" s="43">
        <v>2.0</v>
      </c>
      <c r="I559" s="43">
        <v>2.0</v>
      </c>
      <c r="J559" s="44" t="s">
        <v>654</v>
      </c>
      <c r="K559" s="45" t="s">
        <v>1508</v>
      </c>
      <c r="L559" s="45" t="s">
        <v>1509</v>
      </c>
      <c r="M559" s="44" t="s">
        <v>1510</v>
      </c>
      <c r="N559" s="44" t="s">
        <v>275</v>
      </c>
      <c r="O559" s="47"/>
      <c r="P559" s="47"/>
      <c r="Q559" s="47"/>
      <c r="R559" s="47">
        <f>TDIST(1.21,328,2)</f>
        <v>0.2271501938</v>
      </c>
      <c r="S559" s="47">
        <f t="shared" si="88"/>
        <v>1.207732444</v>
      </c>
      <c r="T559" s="47">
        <f t="shared" si="89"/>
        <v>0.2259450873</v>
      </c>
      <c r="U559" s="50"/>
    </row>
    <row r="560">
      <c r="A560" s="41"/>
      <c r="B560" s="42">
        <v>231.0</v>
      </c>
      <c r="C560" s="43"/>
      <c r="D560" s="41"/>
      <c r="E560" s="41"/>
      <c r="F560" s="43"/>
      <c r="G560" s="43"/>
      <c r="H560" s="43">
        <v>2.0</v>
      </c>
      <c r="I560" s="43">
        <v>2.0</v>
      </c>
      <c r="J560" s="44" t="s">
        <v>658</v>
      </c>
      <c r="K560" s="45" t="s">
        <v>1511</v>
      </c>
      <c r="L560" s="45" t="s">
        <v>1512</v>
      </c>
      <c r="M560" s="44" t="s">
        <v>1513</v>
      </c>
      <c r="N560" s="44" t="s">
        <v>275</v>
      </c>
      <c r="O560" s="47"/>
      <c r="P560" s="47"/>
      <c r="Q560" s="47"/>
      <c r="R560" s="47">
        <f>TDIST(0.94,328,2)</f>
        <v>0.3479092872</v>
      </c>
      <c r="S560" s="47">
        <f t="shared" si="88"/>
        <v>0.9386523081</v>
      </c>
      <c r="T560" s="47">
        <f t="shared" si="89"/>
        <v>0.1535448692</v>
      </c>
      <c r="U560" s="50"/>
    </row>
    <row r="561">
      <c r="A561" s="22"/>
      <c r="B561" s="74">
        <v>231.0</v>
      </c>
      <c r="C561" s="62"/>
      <c r="D561" s="22"/>
      <c r="E561" s="22"/>
      <c r="F561" s="62"/>
      <c r="G561" s="62"/>
      <c r="H561" s="62"/>
      <c r="I561" s="62">
        <v>2.0</v>
      </c>
      <c r="J561" s="63" t="s">
        <v>1514</v>
      </c>
      <c r="K561" s="64" t="s">
        <v>1515</v>
      </c>
      <c r="L561" s="64" t="s">
        <v>1516</v>
      </c>
      <c r="M561" s="66"/>
      <c r="N561" s="66"/>
      <c r="O561" s="66"/>
      <c r="P561" s="66"/>
      <c r="Q561" s="66"/>
      <c r="R561" s="66"/>
      <c r="S561" s="66"/>
      <c r="T561" s="66"/>
      <c r="U561" s="67"/>
    </row>
    <row r="562">
      <c r="A562" s="41"/>
      <c r="B562" s="83">
        <v>231.0</v>
      </c>
      <c r="C562" s="75"/>
      <c r="D562" s="76"/>
      <c r="E562" s="76"/>
      <c r="F562" s="75"/>
      <c r="G562" s="75"/>
      <c r="H562" s="75">
        <v>2.0</v>
      </c>
      <c r="I562" s="75">
        <v>2.0</v>
      </c>
      <c r="J562" s="77" t="s">
        <v>1517</v>
      </c>
      <c r="K562" s="78" t="s">
        <v>1518</v>
      </c>
      <c r="L562" s="78" t="s">
        <v>1519</v>
      </c>
      <c r="M562" s="77" t="s">
        <v>1520</v>
      </c>
      <c r="N562" s="77" t="s">
        <v>275</v>
      </c>
      <c r="O562" s="80"/>
      <c r="P562" s="80"/>
      <c r="Q562" s="80"/>
      <c r="R562" s="80">
        <f>TDIST(0.41,328,2)</f>
        <v>0.6820736036</v>
      </c>
      <c r="S562" s="80">
        <f>NORMINV(1-R562/2,0,1)</f>
        <v>0.4096351562</v>
      </c>
      <c r="T562" s="80">
        <f>NORMDIST(S562,1.96,1,TRUE)</f>
        <v>0.06052698584</v>
      </c>
      <c r="U562" s="81"/>
    </row>
    <row r="563">
      <c r="A563" s="7"/>
      <c r="B563" s="8">
        <v>232.0</v>
      </c>
      <c r="C563" s="14" t="s">
        <v>1521</v>
      </c>
      <c r="D563" s="7" t="s">
        <v>307</v>
      </c>
      <c r="E563" s="11"/>
      <c r="F563" s="8" t="s">
        <v>1522</v>
      </c>
      <c r="G563" s="8">
        <v>2013.0</v>
      </c>
      <c r="H563" s="8"/>
      <c r="I563" s="8"/>
      <c r="J563" s="8"/>
      <c r="K563" s="16"/>
      <c r="L563" s="13"/>
      <c r="M563" s="15"/>
      <c r="N563" s="15"/>
      <c r="O563" s="15"/>
      <c r="P563" s="15"/>
      <c r="Q563" s="15"/>
      <c r="R563" s="15"/>
      <c r="S563" s="15"/>
      <c r="T563" s="15"/>
      <c r="U563" s="16"/>
    </row>
    <row r="564">
      <c r="A564" s="7"/>
      <c r="B564" s="8">
        <v>233.0</v>
      </c>
      <c r="C564" s="14" t="s">
        <v>1523</v>
      </c>
      <c r="D564" s="7" t="s">
        <v>307</v>
      </c>
      <c r="E564" s="11"/>
      <c r="F564" s="8" t="s">
        <v>1524</v>
      </c>
      <c r="G564" s="8">
        <v>2017.0</v>
      </c>
      <c r="H564" s="8"/>
      <c r="I564" s="8"/>
      <c r="J564" s="8"/>
      <c r="K564" s="16"/>
      <c r="L564" s="13"/>
      <c r="M564" s="15"/>
      <c r="N564" s="15"/>
      <c r="O564" s="15"/>
      <c r="P564" s="15"/>
      <c r="Q564" s="15"/>
      <c r="R564" s="15"/>
      <c r="S564" s="15"/>
      <c r="T564" s="15"/>
      <c r="U564" s="16"/>
    </row>
    <row r="565">
      <c r="A565" s="7"/>
      <c r="B565" s="8">
        <v>234.0</v>
      </c>
      <c r="C565" s="14" t="s">
        <v>1525</v>
      </c>
      <c r="D565" s="7" t="s">
        <v>22</v>
      </c>
      <c r="E565" s="11"/>
      <c r="F565" s="8" t="s">
        <v>1526</v>
      </c>
      <c r="G565" s="8">
        <v>2001.0</v>
      </c>
      <c r="H565" s="8"/>
      <c r="I565" s="8"/>
      <c r="J565" s="8"/>
      <c r="K565" s="16"/>
      <c r="L565" s="13"/>
      <c r="M565" s="15"/>
      <c r="N565" s="15"/>
      <c r="O565" s="15"/>
      <c r="P565" s="15"/>
      <c r="Q565" s="15"/>
      <c r="R565" s="15"/>
      <c r="S565" s="15"/>
      <c r="T565" s="15"/>
      <c r="U565" s="16"/>
    </row>
    <row r="566">
      <c r="A566" s="7"/>
      <c r="B566" s="8">
        <v>235.0</v>
      </c>
      <c r="C566" s="14" t="s">
        <v>1527</v>
      </c>
      <c r="D566" s="7" t="s">
        <v>307</v>
      </c>
      <c r="E566" s="11"/>
      <c r="F566" s="8" t="s">
        <v>1528</v>
      </c>
      <c r="G566" s="8">
        <v>2009.0</v>
      </c>
      <c r="H566" s="8"/>
      <c r="I566" s="8"/>
      <c r="J566" s="8"/>
      <c r="K566" s="16"/>
      <c r="L566" s="13"/>
      <c r="M566" s="15"/>
      <c r="N566" s="15"/>
      <c r="O566" s="15"/>
      <c r="P566" s="15"/>
      <c r="Q566" s="15"/>
      <c r="R566" s="15"/>
      <c r="S566" s="15"/>
      <c r="T566" s="15"/>
      <c r="U566" s="16"/>
    </row>
    <row r="567">
      <c r="A567" s="7"/>
      <c r="B567" s="8">
        <v>236.0</v>
      </c>
      <c r="C567" s="14" t="s">
        <v>1529</v>
      </c>
      <c r="D567" s="7" t="s">
        <v>1464</v>
      </c>
      <c r="E567" s="11"/>
      <c r="F567" s="8" t="s">
        <v>1530</v>
      </c>
      <c r="G567" s="8">
        <v>2013.0</v>
      </c>
      <c r="H567" s="8"/>
      <c r="I567" s="8"/>
      <c r="J567" s="8"/>
      <c r="K567" s="16"/>
      <c r="L567" s="13"/>
      <c r="M567" s="15"/>
      <c r="N567" s="15"/>
      <c r="O567" s="15"/>
      <c r="P567" s="15"/>
      <c r="Q567" s="15"/>
      <c r="R567" s="15"/>
      <c r="S567" s="15"/>
      <c r="T567" s="15"/>
      <c r="U567" s="16"/>
    </row>
    <row r="568">
      <c r="A568" s="48"/>
      <c r="B568" s="145">
        <v>237.0</v>
      </c>
      <c r="C568" s="146" t="s">
        <v>1531</v>
      </c>
      <c r="D568" s="147" t="s">
        <v>1532</v>
      </c>
      <c r="E568" s="147" t="s">
        <v>32</v>
      </c>
      <c r="F568" s="148" t="s">
        <v>1533</v>
      </c>
      <c r="G568" s="148">
        <v>2000.0</v>
      </c>
      <c r="H568" s="148"/>
      <c r="I568" s="148">
        <v>1.0</v>
      </c>
      <c r="J568" s="148">
        <v>1.0</v>
      </c>
      <c r="K568" s="150" t="s">
        <v>1534</v>
      </c>
      <c r="L568" s="230"/>
      <c r="M568" s="151"/>
      <c r="N568" s="151"/>
      <c r="O568" s="151"/>
      <c r="P568" s="151"/>
      <c r="Q568" s="151"/>
      <c r="R568" s="151"/>
      <c r="S568" s="151"/>
      <c r="T568" s="151"/>
      <c r="U568" s="200"/>
    </row>
    <row r="569">
      <c r="A569" s="48"/>
      <c r="B569" s="97">
        <v>237.0</v>
      </c>
      <c r="C569" s="49"/>
      <c r="D569" s="48"/>
      <c r="E569" s="48"/>
      <c r="F569" s="49"/>
      <c r="G569" s="49"/>
      <c r="H569" s="49"/>
      <c r="I569" s="49">
        <v>1.0</v>
      </c>
      <c r="J569" s="49">
        <v>2.0</v>
      </c>
      <c r="K569" s="53" t="s">
        <v>1535</v>
      </c>
      <c r="L569" s="54"/>
      <c r="M569" s="55"/>
      <c r="N569" s="55"/>
      <c r="O569" s="55"/>
      <c r="P569" s="55"/>
      <c r="Q569" s="55"/>
      <c r="R569" s="55"/>
      <c r="S569" s="55"/>
      <c r="T569" s="55"/>
      <c r="U569" s="99"/>
    </row>
    <row r="570">
      <c r="A570" s="48"/>
      <c r="B570" s="97">
        <v>237.0</v>
      </c>
      <c r="C570" s="49"/>
      <c r="D570" s="48"/>
      <c r="E570" s="48"/>
      <c r="F570" s="49"/>
      <c r="G570" s="49"/>
      <c r="H570" s="49"/>
      <c r="I570" s="49">
        <v>1.0</v>
      </c>
      <c r="J570" s="49">
        <v>3.0</v>
      </c>
      <c r="K570" s="53" t="s">
        <v>1536</v>
      </c>
      <c r="L570" s="54"/>
      <c r="M570" s="55"/>
      <c r="N570" s="55"/>
      <c r="O570" s="55"/>
      <c r="P570" s="55"/>
      <c r="Q570" s="55"/>
      <c r="R570" s="55"/>
      <c r="S570" s="55"/>
      <c r="T570" s="55"/>
      <c r="U570" s="99"/>
    </row>
    <row r="571">
      <c r="A571" s="48"/>
      <c r="B571" s="97">
        <v>237.0</v>
      </c>
      <c r="C571" s="49"/>
      <c r="D571" s="48"/>
      <c r="E571" s="48"/>
      <c r="F571" s="49"/>
      <c r="G571" s="49"/>
      <c r="H571" s="49"/>
      <c r="I571" s="49">
        <v>1.0</v>
      </c>
      <c r="J571" s="49">
        <v>4.0</v>
      </c>
      <c r="K571" s="53" t="s">
        <v>1537</v>
      </c>
      <c r="L571" s="54"/>
      <c r="M571" s="55"/>
      <c r="N571" s="55"/>
      <c r="O571" s="55"/>
      <c r="P571" s="55"/>
      <c r="Q571" s="55"/>
      <c r="R571" s="55"/>
      <c r="S571" s="55"/>
      <c r="T571" s="55"/>
      <c r="U571" s="99"/>
    </row>
    <row r="572">
      <c r="A572" s="48"/>
      <c r="B572" s="153">
        <v>237.0</v>
      </c>
      <c r="C572" s="154"/>
      <c r="D572" s="155"/>
      <c r="E572" s="155"/>
      <c r="F572" s="154"/>
      <c r="G572" s="154"/>
      <c r="H572" s="154"/>
      <c r="I572" s="154">
        <v>1.0</v>
      </c>
      <c r="J572" s="154">
        <v>5.0</v>
      </c>
      <c r="K572" s="157" t="s">
        <v>1538</v>
      </c>
      <c r="L572" s="158"/>
      <c r="M572" s="159"/>
      <c r="N572" s="159"/>
      <c r="O572" s="159"/>
      <c r="P572" s="159"/>
      <c r="Q572" s="159"/>
      <c r="R572" s="159"/>
      <c r="S572" s="159"/>
      <c r="T572" s="159"/>
      <c r="U572" s="126"/>
    </row>
    <row r="573">
      <c r="A573" s="7"/>
      <c r="B573" s="8"/>
      <c r="C573" s="8"/>
      <c r="D573" s="7"/>
      <c r="E573" s="7"/>
      <c r="F573" s="8"/>
      <c r="G573" s="8"/>
      <c r="H573" s="8"/>
      <c r="I573" s="8"/>
      <c r="J573" s="8"/>
      <c r="K573" s="16"/>
      <c r="L573" s="13"/>
      <c r="M573" s="15"/>
      <c r="N573" s="15"/>
      <c r="O573" s="15"/>
      <c r="P573" s="15"/>
      <c r="Q573" s="15"/>
      <c r="R573" s="15"/>
      <c r="S573" s="15"/>
      <c r="T573" s="15"/>
      <c r="U573" s="16"/>
    </row>
    <row r="574">
      <c r="A574" s="41">
        <v>1.0</v>
      </c>
      <c r="B574" s="231">
        <v>238.0</v>
      </c>
      <c r="C574" s="232" t="s">
        <v>1539</v>
      </c>
      <c r="D574" s="233" t="s">
        <v>48</v>
      </c>
      <c r="E574" s="233" t="s">
        <v>32</v>
      </c>
      <c r="F574" s="234" t="s">
        <v>1540</v>
      </c>
      <c r="G574" s="234">
        <v>2008.0</v>
      </c>
      <c r="H574" s="234">
        <v>1.0</v>
      </c>
      <c r="I574" s="234">
        <v>1.0</v>
      </c>
      <c r="J574" s="234">
        <v>1.0</v>
      </c>
      <c r="K574" s="235" t="s">
        <v>1541</v>
      </c>
      <c r="L574" s="235" t="s">
        <v>1542</v>
      </c>
      <c r="M574" s="236" t="s">
        <v>1543</v>
      </c>
      <c r="N574" s="237" t="s">
        <v>119</v>
      </c>
      <c r="O574" s="238"/>
      <c r="P574" s="236" t="s">
        <v>1544</v>
      </c>
      <c r="Q574" s="238"/>
      <c r="R574" s="236">
        <f>FDIST(3.18,6,2445)</f>
        <v>0.004127526091</v>
      </c>
      <c r="S574" s="238">
        <f>NORMINV(1-R574/2,0,1)</f>
        <v>2.868247426</v>
      </c>
      <c r="T574" s="238">
        <f>NORMDIST(S574,1.96,1,TRUE)</f>
        <v>0.8181262438</v>
      </c>
      <c r="U574" s="239" t="s">
        <v>1545</v>
      </c>
    </row>
    <row r="575">
      <c r="A575" s="7"/>
      <c r="B575" s="8">
        <v>239.0</v>
      </c>
      <c r="C575" s="14" t="s">
        <v>1546</v>
      </c>
      <c r="D575" s="7" t="s">
        <v>31</v>
      </c>
      <c r="E575" s="11"/>
      <c r="F575" s="8" t="s">
        <v>1219</v>
      </c>
      <c r="G575" s="8">
        <v>2006.0</v>
      </c>
      <c r="H575" s="8"/>
      <c r="I575" s="8"/>
      <c r="J575" s="8"/>
      <c r="K575" s="16"/>
      <c r="L575" s="13"/>
      <c r="M575" s="15"/>
      <c r="N575" s="15"/>
      <c r="O575" s="15"/>
      <c r="P575" s="15"/>
      <c r="Q575" s="15"/>
      <c r="R575" s="15"/>
      <c r="S575" s="15"/>
      <c r="T575" s="15"/>
      <c r="U575" s="16"/>
    </row>
    <row r="576">
      <c r="A576" s="7"/>
      <c r="B576" s="8">
        <v>240.0</v>
      </c>
      <c r="C576" s="14" t="s">
        <v>1547</v>
      </c>
      <c r="D576" s="7" t="s">
        <v>307</v>
      </c>
      <c r="E576" s="11"/>
      <c r="F576" s="8" t="s">
        <v>610</v>
      </c>
      <c r="G576" s="8">
        <v>2002.0</v>
      </c>
      <c r="H576" s="8"/>
      <c r="I576" s="8"/>
      <c r="J576" s="8"/>
      <c r="K576" s="16"/>
      <c r="L576" s="13"/>
      <c r="M576" s="15"/>
      <c r="N576" s="15"/>
      <c r="O576" s="15"/>
      <c r="P576" s="15"/>
      <c r="Q576" s="15"/>
      <c r="R576" s="15"/>
      <c r="S576" s="15"/>
      <c r="T576" s="15"/>
      <c r="U576" s="16"/>
    </row>
    <row r="577">
      <c r="A577" s="22"/>
      <c r="B577" s="24">
        <v>241.0</v>
      </c>
      <c r="C577" s="31" t="s">
        <v>1548</v>
      </c>
      <c r="D577" s="33" t="s">
        <v>48</v>
      </c>
      <c r="E577" s="33" t="s">
        <v>32</v>
      </c>
      <c r="F577" s="35" t="s">
        <v>1549</v>
      </c>
      <c r="G577" s="35">
        <v>2004.0</v>
      </c>
      <c r="H577" s="35"/>
      <c r="I577" s="35">
        <v>1.0</v>
      </c>
      <c r="J577" s="35">
        <v>1.0</v>
      </c>
      <c r="K577" s="37" t="s">
        <v>1550</v>
      </c>
      <c r="L577" s="37" t="s">
        <v>1551</v>
      </c>
      <c r="M577" s="39"/>
      <c r="N577" s="39"/>
      <c r="O577" s="39"/>
      <c r="P577" s="39"/>
      <c r="Q577" s="39"/>
      <c r="R577" s="39"/>
      <c r="S577" s="39"/>
      <c r="T577" s="39"/>
      <c r="U577" s="40" t="s">
        <v>1552</v>
      </c>
    </row>
    <row r="578">
      <c r="A578" s="41">
        <v>1.0</v>
      </c>
      <c r="B578" s="42">
        <v>241.0</v>
      </c>
      <c r="C578" s="43"/>
      <c r="D578" s="41"/>
      <c r="E578" s="94"/>
      <c r="F578" s="43"/>
      <c r="G578" s="43"/>
      <c r="H578" s="43">
        <v>1.0</v>
      </c>
      <c r="I578" s="43">
        <v>1.0</v>
      </c>
      <c r="J578" s="43" t="s">
        <v>642</v>
      </c>
      <c r="K578" s="45" t="s">
        <v>1553</v>
      </c>
      <c r="L578" s="45" t="s">
        <v>1554</v>
      </c>
      <c r="M578" s="44" t="s">
        <v>1555</v>
      </c>
      <c r="N578" s="47"/>
      <c r="O578" s="47"/>
      <c r="P578" s="47"/>
      <c r="Q578" s="47"/>
      <c r="R578" s="47"/>
      <c r="S578" s="47"/>
      <c r="T578" s="47"/>
      <c r="U578" s="99" t="s">
        <v>1556</v>
      </c>
    </row>
    <row r="579">
      <c r="A579" s="41"/>
      <c r="B579" s="42">
        <v>241.0</v>
      </c>
      <c r="C579" s="62"/>
      <c r="D579" s="22"/>
      <c r="E579" s="127"/>
      <c r="F579" s="62"/>
      <c r="G579" s="62"/>
      <c r="H579" s="62"/>
      <c r="I579" s="62">
        <v>1.0</v>
      </c>
      <c r="J579" s="62" t="s">
        <v>644</v>
      </c>
      <c r="K579" s="64" t="s">
        <v>1557</v>
      </c>
      <c r="L579" s="64" t="s">
        <v>1558</v>
      </c>
      <c r="M579" s="66"/>
      <c r="N579" s="66"/>
      <c r="O579" s="66"/>
      <c r="P579" s="66"/>
      <c r="Q579" s="66"/>
      <c r="R579" s="66"/>
      <c r="S579" s="66"/>
      <c r="T579" s="66"/>
      <c r="U579" s="67"/>
    </row>
    <row r="580">
      <c r="A580" s="41"/>
      <c r="B580" s="42">
        <v>241.0</v>
      </c>
      <c r="C580" s="43"/>
      <c r="D580" s="41"/>
      <c r="E580" s="94"/>
      <c r="F580" s="43"/>
      <c r="G580" s="43"/>
      <c r="H580" s="43">
        <v>1.0</v>
      </c>
      <c r="I580" s="43">
        <v>1.0</v>
      </c>
      <c r="J580" s="43" t="s">
        <v>1032</v>
      </c>
      <c r="K580" s="45" t="s">
        <v>1559</v>
      </c>
      <c r="L580" s="45" t="s">
        <v>1560</v>
      </c>
      <c r="M580" s="44" t="s">
        <v>1561</v>
      </c>
      <c r="N580" s="44" t="s">
        <v>1562</v>
      </c>
      <c r="O580" s="47"/>
      <c r="P580" s="47"/>
      <c r="Q580" s="47"/>
      <c r="R580" s="47"/>
      <c r="S580" s="47"/>
      <c r="T580" s="47"/>
      <c r="U580" s="50"/>
    </row>
    <row r="581">
      <c r="A581" s="22"/>
      <c r="B581" s="104">
        <v>241.0</v>
      </c>
      <c r="C581" s="105"/>
      <c r="D581" s="106"/>
      <c r="E581" s="129"/>
      <c r="F581" s="105"/>
      <c r="G581" s="105"/>
      <c r="H581" s="105"/>
      <c r="I581" s="105">
        <v>1.0</v>
      </c>
      <c r="J581" s="105">
        <v>3.0</v>
      </c>
      <c r="K581" s="108" t="s">
        <v>1563</v>
      </c>
      <c r="L581" s="108" t="s">
        <v>1564</v>
      </c>
      <c r="M581" s="110"/>
      <c r="N581" s="110"/>
      <c r="O581" s="110"/>
      <c r="P581" s="110"/>
      <c r="Q581" s="110"/>
      <c r="R581" s="110"/>
      <c r="S581" s="110"/>
      <c r="T581" s="110"/>
      <c r="U581" s="111"/>
    </row>
    <row r="582">
      <c r="A582" s="7"/>
      <c r="B582" s="8">
        <v>242.0</v>
      </c>
      <c r="C582" s="14" t="s">
        <v>1565</v>
      </c>
      <c r="D582" s="7" t="s">
        <v>307</v>
      </c>
      <c r="E582" s="11"/>
      <c r="F582" s="8" t="s">
        <v>1566</v>
      </c>
      <c r="G582" s="8">
        <v>2006.0</v>
      </c>
      <c r="H582" s="8"/>
      <c r="I582" s="8"/>
      <c r="J582" s="8"/>
      <c r="K582" s="16"/>
      <c r="L582" s="13"/>
      <c r="M582" s="15"/>
      <c r="N582" s="15"/>
      <c r="O582" s="15"/>
      <c r="P582" s="15"/>
      <c r="Q582" s="15"/>
      <c r="R582" s="15"/>
      <c r="S582" s="15"/>
      <c r="T582" s="15"/>
      <c r="U582" s="16"/>
    </row>
    <row r="583">
      <c r="A583" s="7"/>
      <c r="B583" s="8">
        <v>243.0</v>
      </c>
      <c r="C583" s="14" t="s">
        <v>1567</v>
      </c>
      <c r="D583" s="7" t="s">
        <v>307</v>
      </c>
      <c r="E583" s="7"/>
      <c r="F583" s="8" t="s">
        <v>1206</v>
      </c>
      <c r="G583" s="8">
        <v>2006.0</v>
      </c>
      <c r="H583" s="8"/>
      <c r="I583" s="8"/>
      <c r="J583" s="8"/>
      <c r="K583" s="16"/>
      <c r="L583" s="13"/>
      <c r="M583" s="15"/>
      <c r="N583" s="15"/>
      <c r="O583" s="15"/>
      <c r="P583" s="15"/>
      <c r="Q583" s="15"/>
      <c r="R583" s="15"/>
      <c r="S583" s="15"/>
      <c r="T583" s="15"/>
      <c r="U583" s="16"/>
    </row>
    <row r="584">
      <c r="A584" s="7"/>
      <c r="B584" s="8">
        <v>244.0</v>
      </c>
      <c r="C584" s="14" t="s">
        <v>1568</v>
      </c>
      <c r="D584" s="7" t="s">
        <v>31</v>
      </c>
      <c r="E584" s="11"/>
      <c r="F584" s="8" t="s">
        <v>1569</v>
      </c>
      <c r="G584" s="8">
        <v>2001.0</v>
      </c>
      <c r="H584" s="8"/>
      <c r="I584" s="8"/>
      <c r="J584" s="8"/>
      <c r="K584" s="16"/>
      <c r="L584" s="13"/>
      <c r="M584" s="15"/>
      <c r="N584" s="15"/>
      <c r="O584" s="15"/>
      <c r="P584" s="15"/>
      <c r="Q584" s="15"/>
      <c r="R584" s="15"/>
      <c r="S584" s="15"/>
      <c r="T584" s="15"/>
      <c r="U584" s="16"/>
    </row>
    <row r="585">
      <c r="A585" s="41">
        <v>1.0</v>
      </c>
      <c r="B585" s="86">
        <v>245.0</v>
      </c>
      <c r="C585" s="87" t="s">
        <v>1570</v>
      </c>
      <c r="D585" s="88" t="s">
        <v>48</v>
      </c>
      <c r="E585" s="88" t="s">
        <v>32</v>
      </c>
      <c r="F585" s="89" t="s">
        <v>1571</v>
      </c>
      <c r="G585" s="89">
        <v>2010.0</v>
      </c>
      <c r="H585" s="89">
        <v>1.0</v>
      </c>
      <c r="I585" s="89">
        <v>1.0</v>
      </c>
      <c r="J585" s="89">
        <v>1.0</v>
      </c>
      <c r="K585" s="91" t="s">
        <v>1572</v>
      </c>
      <c r="L585" s="91" t="s">
        <v>1573</v>
      </c>
      <c r="M585" s="90" t="s">
        <v>1574</v>
      </c>
      <c r="N585" s="197" t="s">
        <v>119</v>
      </c>
      <c r="O585" s="92"/>
      <c r="P585" s="92"/>
      <c r="Q585" s="92"/>
      <c r="R585" s="92">
        <f>TDIST(3.4,78,2)</f>
        <v>0.001064707715</v>
      </c>
      <c r="S585" s="92">
        <f t="shared" ref="S585:S587" si="90">NORMINV(1-R585/2,0,1)</f>
        <v>3.272845197</v>
      </c>
      <c r="T585" s="92">
        <f t="shared" ref="T585:T587" si="91">NORMDIST(S585,1.96,1,TRUE)</f>
        <v>0.9053824417</v>
      </c>
      <c r="U585" s="93"/>
    </row>
    <row r="586">
      <c r="A586" s="41"/>
      <c r="B586" s="42">
        <v>245.0</v>
      </c>
      <c r="C586" s="43"/>
      <c r="D586" s="41"/>
      <c r="E586" s="41"/>
      <c r="F586" s="43"/>
      <c r="G586" s="43"/>
      <c r="H586" s="43">
        <v>1.0</v>
      </c>
      <c r="I586" s="43">
        <v>1.0</v>
      </c>
      <c r="J586" s="43"/>
      <c r="K586" s="45"/>
      <c r="L586" s="45" t="s">
        <v>1575</v>
      </c>
      <c r="M586" s="44" t="s">
        <v>1576</v>
      </c>
      <c r="N586" s="44" t="s">
        <v>1577</v>
      </c>
      <c r="O586" s="47"/>
      <c r="P586" s="60"/>
      <c r="Q586" s="47"/>
      <c r="R586" s="47">
        <f>TDIST(0.7,78,2)</f>
        <v>0.4860098959</v>
      </c>
      <c r="S586" s="47">
        <f t="shared" si="90"/>
        <v>0.6966691078</v>
      </c>
      <c r="T586" s="47">
        <f t="shared" si="91"/>
        <v>0.1032351443</v>
      </c>
      <c r="U586" s="50"/>
    </row>
    <row r="587">
      <c r="A587" s="41"/>
      <c r="B587" s="42">
        <v>245.0</v>
      </c>
      <c r="C587" s="43"/>
      <c r="D587" s="41"/>
      <c r="E587" s="41"/>
      <c r="F587" s="43"/>
      <c r="G587" s="43"/>
      <c r="H587" s="43">
        <v>1.0</v>
      </c>
      <c r="I587" s="43">
        <v>1.0</v>
      </c>
      <c r="J587" s="43" t="s">
        <v>642</v>
      </c>
      <c r="K587" s="45" t="s">
        <v>1578</v>
      </c>
      <c r="L587" s="45" t="s">
        <v>1579</v>
      </c>
      <c r="M587" s="44" t="s">
        <v>1580</v>
      </c>
      <c r="N587" s="44" t="s">
        <v>169</v>
      </c>
      <c r="O587" s="47"/>
      <c r="P587" s="47"/>
      <c r="Q587" s="47"/>
      <c r="R587" s="47"/>
      <c r="S587" s="47" t="str">
        <f t="shared" si="90"/>
        <v>#NUM!</v>
      </c>
      <c r="T587" s="47" t="str">
        <f t="shared" si="91"/>
        <v>#NUM!</v>
      </c>
      <c r="U587" s="50"/>
    </row>
    <row r="588">
      <c r="A588" s="41"/>
      <c r="B588" s="42">
        <v>245.0</v>
      </c>
      <c r="C588" s="43"/>
      <c r="D588" s="41"/>
      <c r="E588" s="41"/>
      <c r="F588" s="43"/>
      <c r="G588" s="43"/>
      <c r="H588" s="43">
        <v>1.0</v>
      </c>
      <c r="I588" s="43">
        <v>1.0</v>
      </c>
      <c r="J588" s="43" t="s">
        <v>644</v>
      </c>
      <c r="K588" s="45" t="s">
        <v>1581</v>
      </c>
      <c r="L588" s="45" t="s">
        <v>1582</v>
      </c>
      <c r="M588" s="44" t="s">
        <v>1583</v>
      </c>
      <c r="N588" s="44" t="s">
        <v>169</v>
      </c>
      <c r="O588" s="44" t="s">
        <v>1583</v>
      </c>
      <c r="P588" s="47"/>
      <c r="Q588" s="47"/>
      <c r="R588" s="47"/>
      <c r="S588" s="47"/>
      <c r="T588" s="47"/>
      <c r="U588" s="50"/>
    </row>
    <row r="589">
      <c r="A589" s="41"/>
      <c r="B589" s="42">
        <v>245.0</v>
      </c>
      <c r="C589" s="43"/>
      <c r="D589" s="41"/>
      <c r="E589" s="41"/>
      <c r="F589" s="43"/>
      <c r="G589" s="43"/>
      <c r="H589" s="43">
        <v>1.0</v>
      </c>
      <c r="I589" s="43">
        <v>1.0</v>
      </c>
      <c r="J589" s="43" t="s">
        <v>53</v>
      </c>
      <c r="K589" s="45" t="s">
        <v>1584</v>
      </c>
      <c r="L589" s="45" t="s">
        <v>1585</v>
      </c>
      <c r="M589" s="44" t="s">
        <v>1586</v>
      </c>
      <c r="N589" s="44" t="s">
        <v>169</v>
      </c>
      <c r="O589" s="44" t="s">
        <v>1586</v>
      </c>
      <c r="P589" s="47"/>
      <c r="Q589" s="47"/>
      <c r="R589" s="47"/>
      <c r="S589" s="47"/>
      <c r="T589" s="47"/>
      <c r="U589" s="50"/>
    </row>
    <row r="590">
      <c r="A590" s="41"/>
      <c r="B590" s="42">
        <v>245.0</v>
      </c>
      <c r="C590" s="43"/>
      <c r="D590" s="41"/>
      <c r="E590" s="41"/>
      <c r="F590" s="43"/>
      <c r="G590" s="43"/>
      <c r="H590" s="43">
        <v>1.0</v>
      </c>
      <c r="I590" s="43">
        <v>1.0</v>
      </c>
      <c r="J590" s="43" t="s">
        <v>65</v>
      </c>
      <c r="K590" s="45" t="s">
        <v>1587</v>
      </c>
      <c r="L590" s="45" t="s">
        <v>1588</v>
      </c>
      <c r="M590" s="44" t="s">
        <v>1589</v>
      </c>
      <c r="N590" s="44" t="s">
        <v>169</v>
      </c>
      <c r="O590" s="44" t="s">
        <v>1589</v>
      </c>
      <c r="P590" s="47"/>
      <c r="Q590" s="47"/>
      <c r="R590" s="47"/>
      <c r="S590" s="47"/>
      <c r="T590" s="47"/>
      <c r="U590" s="50"/>
    </row>
    <row r="591">
      <c r="A591" s="41">
        <v>1.0</v>
      </c>
      <c r="B591" s="42">
        <v>245.0</v>
      </c>
      <c r="C591" s="43"/>
      <c r="D591" s="41"/>
      <c r="E591" s="41"/>
      <c r="F591" s="43"/>
      <c r="G591" s="43"/>
      <c r="H591" s="43">
        <v>2.0</v>
      </c>
      <c r="I591" s="43">
        <v>2.0</v>
      </c>
      <c r="J591" s="43"/>
      <c r="K591" s="45" t="s">
        <v>1572</v>
      </c>
      <c r="L591" s="45" t="s">
        <v>1590</v>
      </c>
      <c r="M591" s="240" t="s">
        <v>1591</v>
      </c>
      <c r="N591" s="44" t="s">
        <v>119</v>
      </c>
      <c r="O591" s="44"/>
      <c r="P591" s="47"/>
      <c r="Q591" s="47"/>
      <c r="R591" s="47">
        <f>TDIST(6.59,343,2)</f>
        <v>0.000000000165902625</v>
      </c>
      <c r="S591" s="47">
        <f t="shared" ref="S591:S592" si="92">NORMINV(1-R591/2,0,1)</f>
        <v>6.389984447</v>
      </c>
      <c r="T591" s="47">
        <f t="shared" ref="T591:T592" si="93">NORMDIST(S591,1.96,1,TRUE)</f>
        <v>0.999995288</v>
      </c>
      <c r="U591" s="50"/>
    </row>
    <row r="592">
      <c r="A592" s="41"/>
      <c r="B592" s="42">
        <v>245.0</v>
      </c>
      <c r="C592" s="43"/>
      <c r="D592" s="41"/>
      <c r="E592" s="41"/>
      <c r="F592" s="43"/>
      <c r="G592" s="43"/>
      <c r="H592" s="43">
        <v>2.0</v>
      </c>
      <c r="I592" s="43">
        <v>2.0</v>
      </c>
      <c r="J592" s="43"/>
      <c r="K592" s="45"/>
      <c r="L592" s="45" t="s">
        <v>1592</v>
      </c>
      <c r="M592" s="44" t="s">
        <v>1593</v>
      </c>
      <c r="N592" s="44" t="s">
        <v>119</v>
      </c>
      <c r="O592" s="47"/>
      <c r="P592" s="47"/>
      <c r="Q592" s="47"/>
      <c r="R592" s="47">
        <f>TDIST(5.94,343,2)</f>
        <v>0.000000006996112134</v>
      </c>
      <c r="S592" s="47">
        <f t="shared" si="92"/>
        <v>5.791017898</v>
      </c>
      <c r="T592" s="47">
        <f t="shared" si="93"/>
        <v>0.9999361929</v>
      </c>
      <c r="U592" s="50"/>
    </row>
    <row r="593">
      <c r="A593" s="41"/>
      <c r="B593" s="42">
        <v>245.0</v>
      </c>
      <c r="C593" s="43"/>
      <c r="D593" s="41"/>
      <c r="E593" s="41"/>
      <c r="F593" s="43"/>
      <c r="G593" s="43"/>
      <c r="H593" s="43">
        <v>2.0</v>
      </c>
      <c r="I593" s="43">
        <v>2.0</v>
      </c>
      <c r="J593" s="43"/>
      <c r="K593" s="45" t="s">
        <v>1584</v>
      </c>
      <c r="L593" s="45" t="s">
        <v>1594</v>
      </c>
      <c r="M593" s="44" t="s">
        <v>1595</v>
      </c>
      <c r="N593" s="44" t="s">
        <v>169</v>
      </c>
      <c r="O593" s="44" t="s">
        <v>1595</v>
      </c>
      <c r="P593" s="47"/>
      <c r="Q593" s="47"/>
      <c r="R593" s="47"/>
      <c r="S593" s="47"/>
      <c r="T593" s="47"/>
      <c r="U593" s="50"/>
    </row>
    <row r="594">
      <c r="A594" s="41"/>
      <c r="B594" s="83">
        <v>245.0</v>
      </c>
      <c r="C594" s="75"/>
      <c r="D594" s="76"/>
      <c r="E594" s="76"/>
      <c r="F594" s="75"/>
      <c r="G594" s="75"/>
      <c r="H594" s="75">
        <v>2.0</v>
      </c>
      <c r="I594" s="75">
        <v>2.0</v>
      </c>
      <c r="J594" s="75"/>
      <c r="K594" s="78" t="s">
        <v>1587</v>
      </c>
      <c r="L594" s="78" t="s">
        <v>1596</v>
      </c>
      <c r="M594" s="77" t="s">
        <v>1597</v>
      </c>
      <c r="N594" s="77" t="s">
        <v>169</v>
      </c>
      <c r="O594" s="77" t="s">
        <v>1597</v>
      </c>
      <c r="P594" s="80"/>
      <c r="Q594" s="80"/>
      <c r="R594" s="80"/>
      <c r="S594" s="80"/>
      <c r="T594" s="80"/>
      <c r="U594" s="81"/>
    </row>
    <row r="595">
      <c r="A595" s="7"/>
      <c r="B595" s="8">
        <v>246.0</v>
      </c>
      <c r="C595" s="14" t="s">
        <v>1598</v>
      </c>
      <c r="D595" s="7" t="s">
        <v>31</v>
      </c>
      <c r="E595" s="11"/>
      <c r="F595" s="8" t="s">
        <v>1599</v>
      </c>
      <c r="G595" s="8">
        <v>2012.0</v>
      </c>
      <c r="H595" s="8"/>
      <c r="I595" s="8"/>
      <c r="J595" s="8"/>
      <c r="K595" s="16"/>
      <c r="L595" s="13"/>
      <c r="M595" s="15"/>
      <c r="N595" s="15"/>
      <c r="O595" s="15"/>
      <c r="P595" s="15"/>
      <c r="Q595" s="15"/>
      <c r="R595" s="15"/>
      <c r="S595" s="15"/>
      <c r="T595" s="15"/>
      <c r="U595" s="16"/>
    </row>
    <row r="596">
      <c r="A596" s="7"/>
      <c r="B596" s="8">
        <v>247.0</v>
      </c>
      <c r="C596" s="14" t="s">
        <v>1600</v>
      </c>
      <c r="D596" s="7" t="s">
        <v>149</v>
      </c>
      <c r="E596" s="11"/>
      <c r="F596" s="8" t="s">
        <v>1601</v>
      </c>
      <c r="G596" s="8">
        <v>2003.0</v>
      </c>
      <c r="H596" s="8"/>
      <c r="I596" s="8"/>
      <c r="J596" s="8"/>
      <c r="K596" s="16"/>
      <c r="L596" s="13"/>
      <c r="M596" s="15"/>
      <c r="N596" s="15"/>
      <c r="O596" s="15"/>
      <c r="P596" s="15"/>
      <c r="Q596" s="15"/>
      <c r="R596" s="15"/>
      <c r="S596" s="15"/>
      <c r="T596" s="15"/>
      <c r="U596" s="16"/>
    </row>
    <row r="597">
      <c r="A597" s="7"/>
      <c r="B597" s="8">
        <v>248.0</v>
      </c>
      <c r="C597" s="14" t="s">
        <v>1602</v>
      </c>
      <c r="D597" s="7" t="s">
        <v>307</v>
      </c>
      <c r="E597" s="7"/>
      <c r="F597" s="8" t="s">
        <v>1603</v>
      </c>
      <c r="G597" s="8">
        <v>2007.0</v>
      </c>
      <c r="H597" s="8"/>
      <c r="I597" s="8"/>
      <c r="J597" s="8"/>
      <c r="K597" s="16"/>
      <c r="L597" s="13"/>
      <c r="M597" s="15"/>
      <c r="N597" s="15"/>
      <c r="O597" s="15"/>
      <c r="P597" s="15"/>
      <c r="Q597" s="15"/>
      <c r="R597" s="15"/>
      <c r="S597" s="15"/>
      <c r="T597" s="15"/>
      <c r="U597" s="16"/>
    </row>
    <row r="598">
      <c r="A598" s="7"/>
      <c r="B598" s="241">
        <v>249.0</v>
      </c>
      <c r="C598" s="242" t="s">
        <v>1604</v>
      </c>
      <c r="D598" s="243" t="s">
        <v>48</v>
      </c>
      <c r="E598" s="243" t="s">
        <v>32</v>
      </c>
      <c r="F598" s="244" t="s">
        <v>1605</v>
      </c>
      <c r="G598" s="244">
        <v>2002.0</v>
      </c>
      <c r="H598" s="244"/>
      <c r="I598" s="244">
        <v>1.0</v>
      </c>
      <c r="J598" s="244">
        <v>1.0</v>
      </c>
      <c r="K598" s="102" t="s">
        <v>1606</v>
      </c>
      <c r="L598" s="102" t="s">
        <v>1607</v>
      </c>
      <c r="M598" s="245"/>
      <c r="N598" s="245"/>
      <c r="O598" s="245"/>
      <c r="P598" s="245"/>
      <c r="Q598" s="245"/>
      <c r="R598" s="245"/>
      <c r="S598" s="245"/>
      <c r="T598" s="245"/>
      <c r="U598" s="246" t="s">
        <v>1608</v>
      </c>
    </row>
    <row r="599">
      <c r="A599" s="7"/>
      <c r="B599" s="8">
        <v>250.0</v>
      </c>
      <c r="C599" s="14" t="s">
        <v>1609</v>
      </c>
      <c r="D599" s="7" t="s">
        <v>307</v>
      </c>
      <c r="E599" s="11"/>
      <c r="F599" s="8" t="s">
        <v>1610</v>
      </c>
      <c r="G599" s="8">
        <v>2006.0</v>
      </c>
      <c r="H599" s="8"/>
      <c r="I599" s="8"/>
      <c r="J599" s="8"/>
      <c r="K599" s="16"/>
      <c r="L599" s="13"/>
      <c r="M599" s="15"/>
      <c r="N599" s="15"/>
      <c r="O599" s="15"/>
      <c r="P599" s="15"/>
      <c r="Q599" s="15"/>
      <c r="R599" s="15"/>
      <c r="S599" s="15"/>
      <c r="T599" s="15"/>
      <c r="U599" s="16"/>
    </row>
    <row r="600">
      <c r="A600" s="41">
        <v>1.0</v>
      </c>
      <c r="B600" s="86">
        <v>251.0</v>
      </c>
      <c r="C600" s="87" t="s">
        <v>1611</v>
      </c>
      <c r="D600" s="88" t="s">
        <v>48</v>
      </c>
      <c r="E600" s="88" t="s">
        <v>32</v>
      </c>
      <c r="F600" s="89" t="s">
        <v>1612</v>
      </c>
      <c r="G600" s="89">
        <v>2002.0</v>
      </c>
      <c r="H600" s="89"/>
      <c r="I600" s="89">
        <v>1.0</v>
      </c>
      <c r="J600" s="89">
        <v>1.0</v>
      </c>
      <c r="K600" s="91" t="s">
        <v>1613</v>
      </c>
      <c r="L600" s="247"/>
      <c r="M600" s="92"/>
      <c r="N600" s="92"/>
      <c r="O600" s="92"/>
      <c r="P600" s="92"/>
      <c r="Q600" s="92"/>
      <c r="R600" s="92"/>
      <c r="S600" s="92"/>
      <c r="T600" s="92"/>
      <c r="U600" s="93"/>
    </row>
    <row r="601">
      <c r="A601" s="41"/>
      <c r="B601" s="42">
        <v>251.0</v>
      </c>
      <c r="C601" s="43"/>
      <c r="D601" s="41"/>
      <c r="E601" s="41"/>
      <c r="F601" s="43"/>
      <c r="G601" s="43"/>
      <c r="H601" s="43"/>
      <c r="I601" s="43">
        <v>1.0</v>
      </c>
      <c r="J601" s="43" t="s">
        <v>642</v>
      </c>
      <c r="K601" s="45" t="s">
        <v>1614</v>
      </c>
      <c r="L601" s="45" t="s">
        <v>1615</v>
      </c>
      <c r="M601" s="44" t="s">
        <v>1616</v>
      </c>
      <c r="N601" s="44" t="s">
        <v>169</v>
      </c>
      <c r="O601" s="47"/>
      <c r="P601" s="47"/>
      <c r="Q601" s="47"/>
      <c r="R601" s="47">
        <f>TDIST(2.54,16,1)</f>
        <v>0.01092008966</v>
      </c>
      <c r="S601" s="47">
        <f t="shared" ref="S601:S612" si="94">NORMINV(1-R601/2,0,1)</f>
        <v>2.545245621</v>
      </c>
      <c r="T601" s="47">
        <f t="shared" ref="T601:T612" si="95">NORMDIST(S601,1.96,1,TRUE)</f>
        <v>0.7208087133</v>
      </c>
      <c r="U601" s="50"/>
    </row>
    <row r="602">
      <c r="A602" s="41"/>
      <c r="B602" s="42">
        <v>251.0</v>
      </c>
      <c r="C602" s="43"/>
      <c r="D602" s="41"/>
      <c r="E602" s="41"/>
      <c r="F602" s="43"/>
      <c r="G602" s="43"/>
      <c r="H602" s="43"/>
      <c r="I602" s="43">
        <v>1.0</v>
      </c>
      <c r="J602" s="43" t="s">
        <v>644</v>
      </c>
      <c r="K602" s="45" t="s">
        <v>1617</v>
      </c>
      <c r="L602" s="45" t="s">
        <v>1618</v>
      </c>
      <c r="M602" s="44" t="s">
        <v>1619</v>
      </c>
      <c r="N602" s="44" t="s">
        <v>119</v>
      </c>
      <c r="O602" s="47"/>
      <c r="P602" s="47"/>
      <c r="Q602" s="47"/>
      <c r="R602" s="47">
        <f>TDIST(5.62,34,1)</f>
        <v>0.000001342750979</v>
      </c>
      <c r="S602" s="47">
        <f t="shared" si="94"/>
        <v>4.833319398</v>
      </c>
      <c r="T602" s="47">
        <f t="shared" si="95"/>
        <v>0.9979690838</v>
      </c>
      <c r="U602" s="50"/>
    </row>
    <row r="603">
      <c r="A603" s="41"/>
      <c r="B603" s="42">
        <v>251.0</v>
      </c>
      <c r="C603" s="43"/>
      <c r="D603" s="41"/>
      <c r="E603" s="41"/>
      <c r="F603" s="43"/>
      <c r="G603" s="43"/>
      <c r="H603" s="43"/>
      <c r="I603" s="43">
        <v>1.0</v>
      </c>
      <c r="J603" s="43" t="s">
        <v>53</v>
      </c>
      <c r="K603" s="45" t="s">
        <v>1620</v>
      </c>
      <c r="L603" s="45" t="s">
        <v>1621</v>
      </c>
      <c r="M603" s="44" t="s">
        <v>1622</v>
      </c>
      <c r="N603" s="44" t="s">
        <v>428</v>
      </c>
      <c r="O603" s="47"/>
      <c r="P603" s="47"/>
      <c r="Q603" s="47"/>
      <c r="R603" s="47">
        <f>TDIST(0.62,55,1)</f>
        <v>0.2689090887</v>
      </c>
      <c r="S603" s="47">
        <f t="shared" si="94"/>
        <v>1.105578296</v>
      </c>
      <c r="T603" s="47">
        <f t="shared" si="95"/>
        <v>0.1964356872</v>
      </c>
      <c r="U603" s="50"/>
    </row>
    <row r="604">
      <c r="A604" s="41"/>
      <c r="B604" s="42">
        <v>251.0</v>
      </c>
      <c r="C604" s="43"/>
      <c r="D604" s="41"/>
      <c r="E604" s="41"/>
      <c r="F604" s="43"/>
      <c r="G604" s="43"/>
      <c r="H604" s="43"/>
      <c r="I604" s="43">
        <v>1.0</v>
      </c>
      <c r="J604" s="43" t="s">
        <v>65</v>
      </c>
      <c r="K604" s="45"/>
      <c r="L604" s="45" t="s">
        <v>1623</v>
      </c>
      <c r="M604" s="44" t="s">
        <v>1624</v>
      </c>
      <c r="N604" s="44" t="s">
        <v>169</v>
      </c>
      <c r="O604" s="47"/>
      <c r="P604" s="47"/>
      <c r="Q604" s="47"/>
      <c r="R604" s="47">
        <f>TDIST(2.38,55,1)</f>
        <v>0.0104032676</v>
      </c>
      <c r="S604" s="47">
        <f t="shared" si="94"/>
        <v>2.562128981</v>
      </c>
      <c r="T604" s="47">
        <f t="shared" si="95"/>
        <v>0.7264558578</v>
      </c>
      <c r="U604" s="50"/>
    </row>
    <row r="605">
      <c r="A605" s="41"/>
      <c r="B605" s="42">
        <v>251.0</v>
      </c>
      <c r="C605" s="43"/>
      <c r="D605" s="41"/>
      <c r="E605" s="41"/>
      <c r="F605" s="43"/>
      <c r="G605" s="43"/>
      <c r="H605" s="43"/>
      <c r="I605" s="43">
        <v>1.0</v>
      </c>
      <c r="J605" s="43" t="s">
        <v>990</v>
      </c>
      <c r="K605" s="45"/>
      <c r="L605" s="45" t="s">
        <v>1625</v>
      </c>
      <c r="M605" s="44" t="s">
        <v>1626</v>
      </c>
      <c r="N605" s="44" t="s">
        <v>428</v>
      </c>
      <c r="O605" s="47"/>
      <c r="P605" s="47"/>
      <c r="Q605" s="47"/>
      <c r="R605" s="47">
        <f>TDIST(0.7,55,1)</f>
        <v>0.2434388707</v>
      </c>
      <c r="S605" s="47">
        <f t="shared" si="94"/>
        <v>1.166434366</v>
      </c>
      <c r="T605" s="47">
        <f t="shared" si="95"/>
        <v>0.2137241728</v>
      </c>
      <c r="U605" s="50"/>
    </row>
    <row r="606">
      <c r="A606" s="41"/>
      <c r="B606" s="42">
        <v>251.0</v>
      </c>
      <c r="C606" s="43"/>
      <c r="D606" s="41"/>
      <c r="E606" s="41"/>
      <c r="F606" s="43"/>
      <c r="G606" s="43"/>
      <c r="H606" s="43"/>
      <c r="I606" s="43">
        <v>1.0</v>
      </c>
      <c r="J606" s="43" t="s">
        <v>130</v>
      </c>
      <c r="K606" s="60"/>
      <c r="L606" s="45" t="s">
        <v>1627</v>
      </c>
      <c r="M606" s="44" t="s">
        <v>1628</v>
      </c>
      <c r="N606" s="44" t="s">
        <v>428</v>
      </c>
      <c r="O606" s="47"/>
      <c r="P606" s="47"/>
      <c r="Q606" s="47"/>
      <c r="R606" s="47">
        <f>TDIST(0.84,55,1)</f>
        <v>0.2022725655</v>
      </c>
      <c r="S606" s="47">
        <f t="shared" si="94"/>
        <v>1.275103626</v>
      </c>
      <c r="T606" s="47">
        <f t="shared" si="95"/>
        <v>0.2467046572</v>
      </c>
      <c r="U606" s="50"/>
    </row>
    <row r="607">
      <c r="A607" s="41"/>
      <c r="B607" s="42">
        <v>251.0</v>
      </c>
      <c r="C607" s="43"/>
      <c r="D607" s="41"/>
      <c r="E607" s="41"/>
      <c r="F607" s="43"/>
      <c r="G607" s="43"/>
      <c r="H607" s="43"/>
      <c r="I607" s="43">
        <v>1.0</v>
      </c>
      <c r="J607" s="43" t="s">
        <v>134</v>
      </c>
      <c r="K607" s="45"/>
      <c r="L607" s="45"/>
      <c r="M607" s="44" t="s">
        <v>1629</v>
      </c>
      <c r="N607" s="44" t="s">
        <v>428</v>
      </c>
      <c r="O607" s="47"/>
      <c r="P607" s="47"/>
      <c r="Q607" s="47"/>
      <c r="R607" s="47">
        <f>TDIST(1.34,55,1)</f>
        <v>0.09287768035</v>
      </c>
      <c r="S607" s="47">
        <f t="shared" si="94"/>
        <v>1.68040944</v>
      </c>
      <c r="T607" s="47">
        <f t="shared" si="95"/>
        <v>0.3898958253</v>
      </c>
      <c r="U607" s="50"/>
    </row>
    <row r="608">
      <c r="A608" s="41"/>
      <c r="B608" s="42">
        <v>251.0</v>
      </c>
      <c r="C608" s="43"/>
      <c r="D608" s="41"/>
      <c r="E608" s="41"/>
      <c r="F608" s="43"/>
      <c r="G608" s="43"/>
      <c r="H608" s="43"/>
      <c r="I608" s="43">
        <v>1.0</v>
      </c>
      <c r="J608" s="43">
        <v>5.0</v>
      </c>
      <c r="K608" s="45" t="s">
        <v>1630</v>
      </c>
      <c r="L608" s="45" t="s">
        <v>1631</v>
      </c>
      <c r="M608" s="44" t="s">
        <v>1632</v>
      </c>
      <c r="N608" s="44" t="s">
        <v>169</v>
      </c>
      <c r="O608" s="47"/>
      <c r="P608" s="47"/>
      <c r="Q608" s="47"/>
      <c r="R608" s="47">
        <f>TDIST(2.15,55,1)</f>
        <v>0.01798425148</v>
      </c>
      <c r="S608" s="47">
        <f t="shared" si="94"/>
        <v>2.36594221</v>
      </c>
      <c r="T608" s="47">
        <f t="shared" si="95"/>
        <v>0.6576074685</v>
      </c>
      <c r="U608" s="50"/>
    </row>
    <row r="609">
      <c r="A609" s="41"/>
      <c r="B609" s="42">
        <v>251.0</v>
      </c>
      <c r="C609" s="43"/>
      <c r="D609" s="41"/>
      <c r="E609" s="41"/>
      <c r="F609" s="43"/>
      <c r="G609" s="43"/>
      <c r="H609" s="43"/>
      <c r="I609" s="43">
        <v>1.0</v>
      </c>
      <c r="J609" s="43"/>
      <c r="K609" s="45"/>
      <c r="L609" s="45" t="s">
        <v>1633</v>
      </c>
      <c r="M609" s="44" t="s">
        <v>1634</v>
      </c>
      <c r="N609" s="44" t="s">
        <v>169</v>
      </c>
      <c r="O609" s="47"/>
      <c r="P609" s="47"/>
      <c r="Q609" s="47"/>
      <c r="R609" s="47">
        <f>TDIST(1.8,55,1)</f>
        <v>0.03867301581</v>
      </c>
      <c r="S609" s="47">
        <f t="shared" si="94"/>
        <v>2.067649264</v>
      </c>
      <c r="T609" s="47">
        <f t="shared" si="95"/>
        <v>0.5428630416</v>
      </c>
      <c r="U609" s="50"/>
    </row>
    <row r="610">
      <c r="A610" s="41"/>
      <c r="B610" s="42">
        <v>251.0</v>
      </c>
      <c r="C610" s="43"/>
      <c r="D610" s="41"/>
      <c r="E610" s="41"/>
      <c r="F610" s="43"/>
      <c r="G610" s="43"/>
      <c r="H610" s="43"/>
      <c r="I610" s="43">
        <v>1.0</v>
      </c>
      <c r="J610" s="43"/>
      <c r="K610" s="45"/>
      <c r="L610" s="45" t="s">
        <v>1635</v>
      </c>
      <c r="M610" s="44" t="s">
        <v>1636</v>
      </c>
      <c r="N610" s="44" t="s">
        <v>428</v>
      </c>
      <c r="O610" s="47"/>
      <c r="P610" s="47"/>
      <c r="Q610" s="47"/>
      <c r="R610" s="47">
        <f>TDIST(0.28,55,1)</f>
        <v>0.3902639602</v>
      </c>
      <c r="S610" s="47">
        <f t="shared" si="94"/>
        <v>0.8591387684</v>
      </c>
      <c r="T610" s="47">
        <f t="shared" si="95"/>
        <v>0.1354785286</v>
      </c>
      <c r="U610" s="50"/>
    </row>
    <row r="611">
      <c r="A611" s="68"/>
      <c r="B611" s="69">
        <v>251.0</v>
      </c>
      <c r="C611" s="70"/>
      <c r="D611" s="68"/>
      <c r="E611" s="68"/>
      <c r="F611" s="70"/>
      <c r="G611" s="70"/>
      <c r="H611" s="70">
        <v>1.0</v>
      </c>
      <c r="I611" s="70">
        <v>1.0</v>
      </c>
      <c r="J611" s="70">
        <v>6.0</v>
      </c>
      <c r="K611" s="61" t="s">
        <v>1637</v>
      </c>
      <c r="L611" s="61" t="s">
        <v>1638</v>
      </c>
      <c r="M611" s="71" t="s">
        <v>1639</v>
      </c>
      <c r="N611" s="71" t="s">
        <v>128</v>
      </c>
      <c r="O611" s="72"/>
      <c r="P611" s="72"/>
      <c r="Q611" s="72"/>
      <c r="R611" s="72">
        <f>FDIST(8.1,5,94)</f>
        <v>0.000002176936488</v>
      </c>
      <c r="S611" s="72">
        <f t="shared" si="94"/>
        <v>4.736264308</v>
      </c>
      <c r="T611" s="72">
        <f t="shared" si="95"/>
        <v>0.9972506256</v>
      </c>
      <c r="U611" s="73"/>
    </row>
    <row r="612">
      <c r="A612" s="41"/>
      <c r="B612" s="83">
        <v>251.0</v>
      </c>
      <c r="C612" s="75"/>
      <c r="D612" s="76"/>
      <c r="E612" s="76"/>
      <c r="F612" s="75"/>
      <c r="G612" s="75"/>
      <c r="H612" s="75"/>
      <c r="I612" s="75">
        <v>1.0</v>
      </c>
      <c r="J612" s="75">
        <v>7.0</v>
      </c>
      <c r="K612" s="78" t="s">
        <v>1640</v>
      </c>
      <c r="L612" s="78" t="s">
        <v>1641</v>
      </c>
      <c r="M612" s="77" t="s">
        <v>1642</v>
      </c>
      <c r="N612" s="77" t="s">
        <v>169</v>
      </c>
      <c r="O612" s="80"/>
      <c r="P612" s="80"/>
      <c r="Q612" s="80"/>
      <c r="R612" s="80">
        <f>TDIST(1.95,40,1)</f>
        <v>0.02910468196</v>
      </c>
      <c r="S612" s="80">
        <f t="shared" si="94"/>
        <v>2.182065728</v>
      </c>
      <c r="T612" s="80">
        <f t="shared" si="95"/>
        <v>0.5878686418</v>
      </c>
      <c r="U612" s="81"/>
    </row>
    <row r="613">
      <c r="A613" s="7"/>
      <c r="B613" s="8">
        <v>252.0</v>
      </c>
      <c r="C613" s="14" t="s">
        <v>1643</v>
      </c>
      <c r="D613" s="115" t="s">
        <v>1644</v>
      </c>
      <c r="E613" s="11"/>
      <c r="F613" s="8" t="s">
        <v>1645</v>
      </c>
      <c r="G613" s="8">
        <v>2009.0</v>
      </c>
      <c r="H613" s="8"/>
      <c r="I613" s="8"/>
      <c r="J613" s="8"/>
      <c r="K613" s="16"/>
      <c r="L613" s="13"/>
      <c r="M613" s="15"/>
      <c r="N613" s="15"/>
      <c r="O613" s="15"/>
      <c r="P613" s="15"/>
      <c r="Q613" s="15"/>
      <c r="R613" s="15"/>
      <c r="S613" s="15"/>
      <c r="T613" s="15"/>
      <c r="U613" s="16"/>
    </row>
    <row r="614">
      <c r="A614" s="7"/>
      <c r="B614" s="8">
        <v>253.0</v>
      </c>
      <c r="C614" s="14" t="s">
        <v>1646</v>
      </c>
      <c r="D614" s="7" t="s">
        <v>31</v>
      </c>
      <c r="E614" s="7"/>
      <c r="F614" s="8" t="s">
        <v>1647</v>
      </c>
      <c r="G614" s="8">
        <v>2003.0</v>
      </c>
      <c r="H614" s="8"/>
      <c r="I614" s="8"/>
      <c r="J614" s="8"/>
      <c r="K614" s="16"/>
      <c r="L614" s="13"/>
      <c r="M614" s="15"/>
      <c r="N614" s="15"/>
      <c r="O614" s="15"/>
      <c r="P614" s="15"/>
      <c r="Q614" s="15"/>
      <c r="R614" s="15"/>
      <c r="S614" s="15"/>
      <c r="T614" s="15"/>
      <c r="U614" s="16"/>
    </row>
    <row r="615">
      <c r="A615" s="41">
        <v>1.0</v>
      </c>
      <c r="B615" s="231">
        <v>254.0</v>
      </c>
      <c r="C615" s="232" t="s">
        <v>1648</v>
      </c>
      <c r="D615" s="248" t="s">
        <v>1649</v>
      </c>
      <c r="E615" s="248" t="s">
        <v>32</v>
      </c>
      <c r="F615" s="249" t="s">
        <v>1650</v>
      </c>
      <c r="G615" s="250">
        <v>2015.0</v>
      </c>
      <c r="H615" s="234">
        <v>1.0</v>
      </c>
      <c r="I615" s="234">
        <v>1.0</v>
      </c>
      <c r="J615" s="234">
        <v>1.0</v>
      </c>
      <c r="K615" s="235" t="s">
        <v>1651</v>
      </c>
      <c r="L615" s="235" t="s">
        <v>1652</v>
      </c>
      <c r="M615" s="236" t="s">
        <v>1653</v>
      </c>
      <c r="N615" s="236" t="s">
        <v>1070</v>
      </c>
      <c r="O615" s="238"/>
      <c r="P615" s="236" t="s">
        <v>1654</v>
      </c>
      <c r="Q615" s="238"/>
      <c r="R615" s="238">
        <f>FDIST(8.33,1,60)</f>
        <v>0.005412351375</v>
      </c>
      <c r="S615" s="238">
        <f>NORMINV(1-R615/2,0,1)</f>
        <v>2.781408932</v>
      </c>
      <c r="T615" s="238">
        <f>NORMDIST(S615,1.96,1,TRUE)</f>
        <v>0.7942933111</v>
      </c>
      <c r="U615" s="239"/>
    </row>
    <row r="616">
      <c r="A616" s="7"/>
      <c r="B616" s="8"/>
      <c r="C616" s="8"/>
      <c r="D616" s="7"/>
      <c r="E616" s="7"/>
      <c r="F616" s="8"/>
      <c r="G616" s="8"/>
      <c r="H616" s="8"/>
      <c r="I616" s="8"/>
      <c r="J616" s="8"/>
      <c r="K616" s="16"/>
      <c r="L616" s="13"/>
      <c r="M616" s="15"/>
      <c r="N616" s="15"/>
      <c r="O616" s="15"/>
      <c r="P616" s="15"/>
      <c r="Q616" s="15"/>
      <c r="R616" s="15"/>
      <c r="S616" s="15"/>
      <c r="T616" s="15"/>
      <c r="U616" s="16"/>
    </row>
    <row r="617">
      <c r="A617" s="7"/>
      <c r="B617" s="8">
        <v>255.0</v>
      </c>
      <c r="C617" s="14" t="s">
        <v>1655</v>
      </c>
      <c r="D617" s="251" t="s">
        <v>48</v>
      </c>
      <c r="E617" s="251" t="s">
        <v>61</v>
      </c>
      <c r="F617" s="8" t="s">
        <v>1656</v>
      </c>
      <c r="G617" s="8">
        <v>2018.0</v>
      </c>
      <c r="H617" s="8"/>
      <c r="I617" s="8"/>
      <c r="J617" s="8"/>
      <c r="K617" s="16"/>
      <c r="L617" s="13"/>
      <c r="M617" s="15"/>
      <c r="N617" s="15"/>
      <c r="O617" s="15"/>
      <c r="P617" s="15"/>
      <c r="Q617" s="15"/>
      <c r="R617" s="15"/>
      <c r="S617" s="15"/>
      <c r="T617" s="15"/>
      <c r="U617" s="16"/>
    </row>
    <row r="618">
      <c r="A618" s="48"/>
      <c r="B618" s="145">
        <v>256.0</v>
      </c>
      <c r="C618" s="146" t="s">
        <v>1657</v>
      </c>
      <c r="D618" s="147" t="s">
        <v>48</v>
      </c>
      <c r="E618" s="147" t="s">
        <v>32</v>
      </c>
      <c r="F618" s="148" t="s">
        <v>541</v>
      </c>
      <c r="G618" s="148">
        <v>2014.0</v>
      </c>
      <c r="H618" s="148"/>
      <c r="I618" s="148">
        <v>1.0</v>
      </c>
      <c r="J618" s="148"/>
      <c r="K618" s="150" t="s">
        <v>1658</v>
      </c>
      <c r="L618" s="230"/>
      <c r="M618" s="151"/>
      <c r="N618" s="151"/>
      <c r="O618" s="151"/>
      <c r="P618" s="151"/>
      <c r="Q618" s="151"/>
      <c r="R618" s="151"/>
      <c r="S618" s="151"/>
      <c r="T618" s="151"/>
      <c r="U618" s="200" t="s">
        <v>1659</v>
      </c>
    </row>
    <row r="619">
      <c r="A619" s="48"/>
      <c r="B619" s="97">
        <v>256.0</v>
      </c>
      <c r="C619" s="49"/>
      <c r="D619" s="48"/>
      <c r="E619" s="48"/>
      <c r="F619" s="49"/>
      <c r="G619" s="49"/>
      <c r="H619" s="49"/>
      <c r="I619" s="49">
        <v>1.0</v>
      </c>
      <c r="J619" s="49"/>
      <c r="K619" s="53" t="s">
        <v>1660</v>
      </c>
      <c r="L619" s="53" t="s">
        <v>1661</v>
      </c>
      <c r="M619" s="98"/>
      <c r="N619" s="55"/>
      <c r="O619" s="55"/>
      <c r="P619" s="55"/>
      <c r="Q619" s="55"/>
      <c r="R619" s="55"/>
      <c r="S619" s="55"/>
      <c r="T619" s="55"/>
      <c r="U619" s="99" t="s">
        <v>1662</v>
      </c>
    </row>
    <row r="620">
      <c r="A620" s="48"/>
      <c r="B620" s="97">
        <v>256.0</v>
      </c>
      <c r="C620" s="49"/>
      <c r="D620" s="48"/>
      <c r="E620" s="48"/>
      <c r="F620" s="49"/>
      <c r="G620" s="49"/>
      <c r="H620" s="49"/>
      <c r="I620" s="49">
        <v>1.0</v>
      </c>
      <c r="J620" s="49"/>
      <c r="K620" s="53" t="s">
        <v>1663</v>
      </c>
      <c r="L620" s="54"/>
      <c r="M620" s="55"/>
      <c r="N620" s="55"/>
      <c r="O620" s="55"/>
      <c r="P620" s="55"/>
      <c r="Q620" s="55"/>
      <c r="R620" s="55"/>
      <c r="S620" s="55"/>
      <c r="T620" s="55"/>
      <c r="U620" s="99"/>
    </row>
    <row r="621">
      <c r="A621" s="48"/>
      <c r="B621" s="97">
        <v>256.0</v>
      </c>
      <c r="C621" s="49"/>
      <c r="D621" s="48"/>
      <c r="E621" s="48"/>
      <c r="F621" s="49"/>
      <c r="G621" s="49"/>
      <c r="H621" s="49"/>
      <c r="I621" s="49">
        <v>1.0</v>
      </c>
      <c r="J621" s="49"/>
      <c r="K621" s="53" t="s">
        <v>1664</v>
      </c>
      <c r="L621" s="54"/>
      <c r="M621" s="55"/>
      <c r="N621" s="55"/>
      <c r="O621" s="55"/>
      <c r="P621" s="55"/>
      <c r="Q621" s="55"/>
      <c r="R621" s="55"/>
      <c r="S621" s="55"/>
      <c r="T621" s="55"/>
      <c r="U621" s="99"/>
    </row>
    <row r="622">
      <c r="A622" s="48"/>
      <c r="B622" s="153">
        <v>256.0</v>
      </c>
      <c r="C622" s="154"/>
      <c r="D622" s="155"/>
      <c r="E622" s="155"/>
      <c r="F622" s="154"/>
      <c r="G622" s="154"/>
      <c r="H622" s="154"/>
      <c r="I622" s="154">
        <v>1.0</v>
      </c>
      <c r="J622" s="154"/>
      <c r="K622" s="157" t="s">
        <v>1665</v>
      </c>
      <c r="L622" s="158"/>
      <c r="M622" s="159"/>
      <c r="N622" s="159"/>
      <c r="O622" s="159"/>
      <c r="P622" s="159"/>
      <c r="Q622" s="159"/>
      <c r="R622" s="159"/>
      <c r="S622" s="159"/>
      <c r="T622" s="159"/>
      <c r="U622" s="126"/>
    </row>
    <row r="623">
      <c r="A623" s="7"/>
      <c r="B623" s="8"/>
      <c r="C623" s="8"/>
      <c r="D623" s="7"/>
      <c r="E623" s="7"/>
      <c r="F623" s="8"/>
      <c r="G623" s="8"/>
      <c r="H623" s="8"/>
      <c r="I623" s="8"/>
      <c r="J623" s="8"/>
      <c r="K623" s="16"/>
      <c r="L623" s="13"/>
      <c r="M623" s="15"/>
      <c r="N623" s="15"/>
      <c r="O623" s="15"/>
      <c r="P623" s="15"/>
      <c r="Q623" s="15"/>
      <c r="R623" s="15"/>
      <c r="S623" s="15"/>
      <c r="T623" s="15"/>
      <c r="U623" s="16"/>
    </row>
    <row r="624">
      <c r="A624" s="7"/>
      <c r="B624" s="8">
        <v>257.0</v>
      </c>
      <c r="C624" s="14" t="s">
        <v>1666</v>
      </c>
      <c r="D624" s="251" t="s">
        <v>1667</v>
      </c>
      <c r="E624" s="251" t="s">
        <v>1668</v>
      </c>
      <c r="F624" s="8" t="s">
        <v>1669</v>
      </c>
      <c r="G624" s="8">
        <v>2017.0</v>
      </c>
      <c r="H624" s="8"/>
      <c r="I624" s="8"/>
      <c r="J624" s="8"/>
      <c r="K624" s="16"/>
      <c r="L624" s="13"/>
      <c r="M624" s="15"/>
      <c r="N624" s="15"/>
      <c r="O624" s="15"/>
      <c r="P624" s="15"/>
      <c r="Q624" s="15"/>
      <c r="R624" s="15"/>
      <c r="S624" s="15"/>
      <c r="T624" s="15"/>
      <c r="U624" s="16"/>
    </row>
    <row r="625">
      <c r="A625" s="7"/>
      <c r="B625" s="8">
        <v>258.0</v>
      </c>
      <c r="C625" s="14" t="s">
        <v>1670</v>
      </c>
      <c r="D625" s="7" t="s">
        <v>45</v>
      </c>
      <c r="E625" s="11"/>
      <c r="F625" s="8" t="s">
        <v>1671</v>
      </c>
      <c r="G625" s="8">
        <v>2013.0</v>
      </c>
      <c r="H625" s="8"/>
      <c r="I625" s="8"/>
      <c r="J625" s="8"/>
      <c r="K625" s="16"/>
      <c r="L625" s="13"/>
      <c r="M625" s="15"/>
      <c r="N625" s="15"/>
      <c r="O625" s="15"/>
      <c r="P625" s="15"/>
      <c r="Q625" s="15"/>
      <c r="R625" s="15"/>
      <c r="S625" s="15"/>
      <c r="T625" s="15"/>
      <c r="U625" s="16"/>
    </row>
    <row r="626">
      <c r="A626" s="7"/>
      <c r="B626" s="8">
        <v>259.0</v>
      </c>
      <c r="C626" s="14" t="s">
        <v>1672</v>
      </c>
      <c r="D626" s="7" t="s">
        <v>48</v>
      </c>
      <c r="E626" s="7" t="s">
        <v>32</v>
      </c>
      <c r="F626" s="8" t="s">
        <v>1673</v>
      </c>
      <c r="G626" s="8">
        <v>2014.0</v>
      </c>
      <c r="H626" s="8"/>
      <c r="I626" s="8"/>
      <c r="J626" s="8"/>
      <c r="K626" s="16"/>
      <c r="L626" s="13"/>
      <c r="M626" s="15"/>
      <c r="N626" s="15"/>
      <c r="O626" s="15"/>
      <c r="P626" s="15"/>
      <c r="Q626" s="15"/>
      <c r="R626" s="15"/>
      <c r="S626" s="15"/>
      <c r="T626" s="15"/>
      <c r="U626" s="16"/>
    </row>
    <row r="627">
      <c r="A627" s="7"/>
      <c r="B627" s="8">
        <v>260.0</v>
      </c>
      <c r="C627" s="14" t="s">
        <v>1674</v>
      </c>
      <c r="D627" s="7" t="s">
        <v>149</v>
      </c>
      <c r="E627" s="11"/>
      <c r="F627" s="8" t="s">
        <v>1675</v>
      </c>
      <c r="G627" s="8">
        <v>2005.0</v>
      </c>
      <c r="H627" s="8"/>
      <c r="I627" s="8"/>
      <c r="J627" s="8"/>
      <c r="K627" s="16"/>
      <c r="L627" s="13"/>
      <c r="M627" s="15"/>
      <c r="N627" s="15"/>
      <c r="O627" s="15"/>
      <c r="P627" s="15"/>
      <c r="Q627" s="15"/>
      <c r="R627" s="15"/>
      <c r="S627" s="15"/>
      <c r="T627" s="15"/>
      <c r="U627" s="16"/>
    </row>
    <row r="628">
      <c r="A628" s="7"/>
      <c r="B628" s="8">
        <v>261.0</v>
      </c>
      <c r="C628" s="14" t="s">
        <v>1676</v>
      </c>
      <c r="D628" s="7" t="s">
        <v>307</v>
      </c>
      <c r="E628" s="11"/>
      <c r="F628" s="8" t="s">
        <v>1677</v>
      </c>
      <c r="G628" s="8">
        <v>2005.0</v>
      </c>
      <c r="H628" s="8"/>
      <c r="I628" s="8"/>
      <c r="J628" s="8"/>
      <c r="K628" s="16"/>
      <c r="L628" s="13"/>
      <c r="M628" s="15"/>
      <c r="N628" s="15"/>
      <c r="O628" s="15"/>
      <c r="P628" s="15"/>
      <c r="Q628" s="15"/>
      <c r="R628" s="15"/>
      <c r="S628" s="15"/>
      <c r="T628" s="15"/>
      <c r="U628" s="16"/>
    </row>
    <row r="629">
      <c r="A629" s="41">
        <v>1.0</v>
      </c>
      <c r="B629" s="86">
        <v>262.0</v>
      </c>
      <c r="C629" s="87" t="s">
        <v>1678</v>
      </c>
      <c r="D629" s="88" t="s">
        <v>48</v>
      </c>
      <c r="E629" s="88" t="s">
        <v>32</v>
      </c>
      <c r="F629" s="89" t="s">
        <v>1679</v>
      </c>
      <c r="G629" s="89">
        <v>2012.0</v>
      </c>
      <c r="H629" s="89">
        <v>1.0</v>
      </c>
      <c r="I629" s="89">
        <v>1.0</v>
      </c>
      <c r="J629" s="89" t="s">
        <v>199</v>
      </c>
      <c r="K629" s="91" t="s">
        <v>1680</v>
      </c>
      <c r="L629" s="91" t="s">
        <v>1681</v>
      </c>
      <c r="M629" s="252" t="s">
        <v>1682</v>
      </c>
      <c r="N629" s="252" t="s">
        <v>119</v>
      </c>
      <c r="O629" s="253"/>
      <c r="P629" s="252" t="s">
        <v>1683</v>
      </c>
      <c r="Q629" s="92"/>
      <c r="R629" s="92">
        <f>FDIST(7.35,1,66)</f>
        <v>0.008539612239</v>
      </c>
      <c r="S629" s="92">
        <f t="shared" ref="S629:S631" si="96">NORMINV(1-R629/2,0,1)</f>
        <v>2.629955197</v>
      </c>
      <c r="T629" s="92">
        <f t="shared" ref="T629:T631" si="97">NORMDIST(S629,1.96,1,TRUE)</f>
        <v>0.7485568243</v>
      </c>
      <c r="U629" s="93" t="s">
        <v>1684</v>
      </c>
      <c r="V629" s="254"/>
    </row>
    <row r="630">
      <c r="A630" s="41"/>
      <c r="B630" s="42">
        <v>262.0</v>
      </c>
      <c r="C630" s="43"/>
      <c r="D630" s="41"/>
      <c r="E630" s="41"/>
      <c r="F630" s="43"/>
      <c r="G630" s="43"/>
      <c r="H630" s="43">
        <v>1.0</v>
      </c>
      <c r="I630" s="43">
        <v>1.0</v>
      </c>
      <c r="J630" s="43" t="s">
        <v>206</v>
      </c>
      <c r="K630" s="45" t="s">
        <v>1685</v>
      </c>
      <c r="L630" s="45" t="s">
        <v>1686</v>
      </c>
      <c r="M630" s="103" t="s">
        <v>1687</v>
      </c>
      <c r="N630" s="103" t="s">
        <v>169</v>
      </c>
      <c r="O630" s="255"/>
      <c r="P630" s="103" t="s">
        <v>1688</v>
      </c>
      <c r="Q630" s="47"/>
      <c r="R630" s="47">
        <f>FDIST(5.3,1,65)</f>
        <v>0.02453784328</v>
      </c>
      <c r="S630" s="47">
        <f t="shared" si="96"/>
        <v>2.248601776</v>
      </c>
      <c r="T630" s="47">
        <f t="shared" si="97"/>
        <v>0.6135569318</v>
      </c>
      <c r="U630" s="50"/>
    </row>
    <row r="631">
      <c r="A631" s="41"/>
      <c r="B631" s="42">
        <v>262.0</v>
      </c>
      <c r="C631" s="43"/>
      <c r="D631" s="41"/>
      <c r="E631" s="41"/>
      <c r="F631" s="43"/>
      <c r="G631" s="43"/>
      <c r="H631" s="43">
        <v>1.0</v>
      </c>
      <c r="I631" s="43">
        <v>1.0</v>
      </c>
      <c r="J631" s="43" t="s">
        <v>642</v>
      </c>
      <c r="K631" s="45" t="s">
        <v>1689</v>
      </c>
      <c r="L631" s="45" t="s">
        <v>1690</v>
      </c>
      <c r="M631" s="103" t="s">
        <v>1691</v>
      </c>
      <c r="N631" s="103" t="s">
        <v>239</v>
      </c>
      <c r="O631" s="255"/>
      <c r="P631" s="103" t="s">
        <v>1692</v>
      </c>
      <c r="Q631" s="47"/>
      <c r="R631" s="47">
        <f>FDIST(3.73,1,63)</f>
        <v>0.05794502981</v>
      </c>
      <c r="S631" s="47">
        <f t="shared" si="96"/>
        <v>1.896113559</v>
      </c>
      <c r="T631" s="47">
        <f t="shared" si="97"/>
        <v>0.4745303243</v>
      </c>
      <c r="U631" s="50" t="s">
        <v>1693</v>
      </c>
    </row>
    <row r="632">
      <c r="A632" s="22"/>
      <c r="B632" s="74">
        <v>262.0</v>
      </c>
      <c r="C632" s="62"/>
      <c r="D632" s="22"/>
      <c r="E632" s="22"/>
      <c r="F632" s="62"/>
      <c r="G632" s="62"/>
      <c r="H632" s="62"/>
      <c r="I632" s="62">
        <v>1.0</v>
      </c>
      <c r="J632" s="62" t="s">
        <v>644</v>
      </c>
      <c r="K632" s="64" t="s">
        <v>1694</v>
      </c>
      <c r="L632" s="62" t="s">
        <v>1695</v>
      </c>
      <c r="M632" s="256"/>
      <c r="N632" s="256"/>
      <c r="O632" s="256"/>
      <c r="P632" s="256"/>
      <c r="Q632" s="66"/>
      <c r="R632" s="66"/>
      <c r="S632" s="66"/>
      <c r="T632" s="66"/>
      <c r="U632" s="67"/>
    </row>
    <row r="633">
      <c r="A633" s="41"/>
      <c r="B633" s="42">
        <v>262.0</v>
      </c>
      <c r="C633" s="43"/>
      <c r="D633" s="41"/>
      <c r="E633" s="41"/>
      <c r="F633" s="43"/>
      <c r="G633" s="43"/>
      <c r="H633" s="43">
        <v>1.0</v>
      </c>
      <c r="I633" s="43">
        <v>1.0</v>
      </c>
      <c r="J633" s="43" t="s">
        <v>53</v>
      </c>
      <c r="K633" s="45" t="s">
        <v>1696</v>
      </c>
      <c r="L633" s="45" t="s">
        <v>1697</v>
      </c>
      <c r="M633" s="103" t="s">
        <v>1698</v>
      </c>
      <c r="N633" s="103" t="s">
        <v>239</v>
      </c>
      <c r="O633" s="255"/>
      <c r="P633" s="103" t="s">
        <v>1688</v>
      </c>
      <c r="Q633" s="47"/>
      <c r="R633" s="47">
        <f>FDIST(3.86,1,45)</f>
        <v>0.05564303103</v>
      </c>
      <c r="S633" s="47">
        <f>NORMINV(1-R633/2,0,1)</f>
        <v>1.913821001</v>
      </c>
      <c r="T633" s="47">
        <f>NORMDIST(S633,1.96,1,TRUE)</f>
        <v>0.4815837906</v>
      </c>
      <c r="U633" s="50" t="s">
        <v>1693</v>
      </c>
    </row>
    <row r="634">
      <c r="A634" s="22"/>
      <c r="B634" s="74">
        <v>262.0</v>
      </c>
      <c r="C634" s="62"/>
      <c r="D634" s="22"/>
      <c r="E634" s="22"/>
      <c r="F634" s="62"/>
      <c r="G634" s="62"/>
      <c r="H634" s="62"/>
      <c r="I634" s="62">
        <v>1.0</v>
      </c>
      <c r="J634" s="62" t="s">
        <v>65</v>
      </c>
      <c r="K634" s="64" t="s">
        <v>1699</v>
      </c>
      <c r="L634" s="64" t="s">
        <v>1700</v>
      </c>
      <c r="M634" s="256"/>
      <c r="N634" s="256"/>
      <c r="O634" s="256"/>
      <c r="P634" s="256"/>
      <c r="Q634" s="66"/>
      <c r="R634" s="66"/>
      <c r="S634" s="66"/>
      <c r="T634" s="66"/>
      <c r="U634" s="67"/>
    </row>
    <row r="635">
      <c r="A635" s="41"/>
      <c r="B635" s="42">
        <v>262.0</v>
      </c>
      <c r="C635" s="43"/>
      <c r="D635" s="41"/>
      <c r="E635" s="41"/>
      <c r="F635" s="43"/>
      <c r="G635" s="43"/>
      <c r="H635" s="43">
        <v>1.0</v>
      </c>
      <c r="I635" s="43">
        <v>1.0</v>
      </c>
      <c r="J635" s="43" t="s">
        <v>130</v>
      </c>
      <c r="K635" s="45" t="s">
        <v>1701</v>
      </c>
      <c r="L635" s="45" t="s">
        <v>1702</v>
      </c>
      <c r="M635" s="103" t="s">
        <v>1703</v>
      </c>
      <c r="N635" s="103" t="s">
        <v>169</v>
      </c>
      <c r="O635" s="255"/>
      <c r="P635" s="103" t="s">
        <v>1683</v>
      </c>
      <c r="Q635" s="47"/>
      <c r="R635" s="47">
        <f>FDIST(4.39,1,45)</f>
        <v>0.04180883346</v>
      </c>
      <c r="S635" s="47">
        <f>NORMINV(1-R635/2,0,1)</f>
        <v>2.035417981</v>
      </c>
      <c r="T635" s="47">
        <f>NORMDIST(S635,1.96,1,TRUE)</f>
        <v>0.5300589235</v>
      </c>
      <c r="U635" s="50"/>
    </row>
    <row r="636">
      <c r="A636" s="22"/>
      <c r="B636" s="74">
        <v>262.0</v>
      </c>
      <c r="C636" s="62"/>
      <c r="D636" s="22"/>
      <c r="E636" s="22"/>
      <c r="F636" s="62"/>
      <c r="G636" s="62"/>
      <c r="H636" s="62"/>
      <c r="I636" s="62">
        <v>1.0</v>
      </c>
      <c r="J636" s="62" t="s">
        <v>134</v>
      </c>
      <c r="K636" s="257" t="s">
        <v>1704</v>
      </c>
      <c r="L636" s="64" t="s">
        <v>1705</v>
      </c>
      <c r="M636" s="258" t="s">
        <v>724</v>
      </c>
      <c r="N636" s="256"/>
      <c r="O636" s="256"/>
      <c r="P636" s="256"/>
      <c r="Q636" s="66"/>
      <c r="R636" s="66"/>
      <c r="S636" s="66"/>
      <c r="T636" s="66"/>
      <c r="U636" s="67"/>
    </row>
    <row r="637">
      <c r="A637" s="41"/>
      <c r="B637" s="42">
        <v>262.0</v>
      </c>
      <c r="C637" s="43"/>
      <c r="D637" s="41"/>
      <c r="E637" s="41"/>
      <c r="F637" s="43"/>
      <c r="G637" s="43"/>
      <c r="H637" s="43">
        <v>1.0</v>
      </c>
      <c r="I637" s="43">
        <v>1.0</v>
      </c>
      <c r="J637" s="43" t="s">
        <v>835</v>
      </c>
      <c r="K637" s="45" t="s">
        <v>1706</v>
      </c>
      <c r="L637" s="45" t="s">
        <v>1707</v>
      </c>
      <c r="M637" s="103" t="s">
        <v>1708</v>
      </c>
      <c r="N637" s="103" t="s">
        <v>169</v>
      </c>
      <c r="O637" s="255"/>
      <c r="P637" s="103" t="s">
        <v>1683</v>
      </c>
      <c r="Q637" s="47"/>
      <c r="R637" s="47">
        <f>FDIST(4.58,1,45)</f>
        <v>0.03780381242</v>
      </c>
      <c r="S637" s="47">
        <f t="shared" ref="S637:S641" si="98">NORMINV(1-R637/2,0,1)</f>
        <v>2.076975586</v>
      </c>
      <c r="T637" s="47">
        <f t="shared" ref="T637:T643" si="99">NORMDIST(S637,1.96,1,TRUE)</f>
        <v>0.5465602998</v>
      </c>
      <c r="U637" s="50"/>
    </row>
    <row r="638">
      <c r="A638" s="41"/>
      <c r="B638" s="42">
        <v>262.0</v>
      </c>
      <c r="C638" s="43"/>
      <c r="D638" s="41"/>
      <c r="E638" s="41"/>
      <c r="F638" s="43"/>
      <c r="G638" s="43"/>
      <c r="H638" s="43">
        <v>1.0</v>
      </c>
      <c r="I638" s="43">
        <v>1.0</v>
      </c>
      <c r="J638" s="43" t="s">
        <v>838</v>
      </c>
      <c r="K638" s="45" t="s">
        <v>1709</v>
      </c>
      <c r="L638" s="45" t="s">
        <v>1710</v>
      </c>
      <c r="M638" s="103" t="s">
        <v>1711</v>
      </c>
      <c r="N638" s="103" t="s">
        <v>169</v>
      </c>
      <c r="O638" s="255"/>
      <c r="P638" s="103" t="s">
        <v>469</v>
      </c>
      <c r="Q638" s="47"/>
      <c r="R638" s="47">
        <f>FDIST(5.69,1,45)</f>
        <v>0.02133315112</v>
      </c>
      <c r="S638" s="47">
        <f t="shared" si="98"/>
        <v>2.30203584</v>
      </c>
      <c r="T638" s="47">
        <f t="shared" si="99"/>
        <v>0.6338380395</v>
      </c>
      <c r="U638" s="50"/>
    </row>
    <row r="639">
      <c r="A639" s="41"/>
      <c r="B639" s="42">
        <v>262.0</v>
      </c>
      <c r="C639" s="43"/>
      <c r="D639" s="41"/>
      <c r="E639" s="41"/>
      <c r="F639" s="43"/>
      <c r="G639" s="43"/>
      <c r="H639" s="43">
        <v>1.0</v>
      </c>
      <c r="I639" s="43">
        <v>1.0</v>
      </c>
      <c r="J639" s="43" t="s">
        <v>654</v>
      </c>
      <c r="K639" s="45" t="s">
        <v>1712</v>
      </c>
      <c r="L639" s="45" t="s">
        <v>1713</v>
      </c>
      <c r="M639" s="103" t="s">
        <v>1714</v>
      </c>
      <c r="N639" s="103" t="s">
        <v>169</v>
      </c>
      <c r="O639" s="255"/>
      <c r="P639" s="103" t="s">
        <v>1683</v>
      </c>
      <c r="Q639" s="47"/>
      <c r="R639" s="47">
        <f>FDIST(4.6,1,45)</f>
        <v>0.0374071262</v>
      </c>
      <c r="S639" s="47">
        <f t="shared" si="98"/>
        <v>2.081292662</v>
      </c>
      <c r="T639" s="47">
        <f t="shared" si="99"/>
        <v>0.5482703841</v>
      </c>
      <c r="U639" s="50"/>
    </row>
    <row r="640">
      <c r="A640" s="41"/>
      <c r="B640" s="42">
        <v>262.0</v>
      </c>
      <c r="C640" s="43"/>
      <c r="D640" s="41"/>
      <c r="E640" s="41"/>
      <c r="F640" s="43"/>
      <c r="G640" s="43"/>
      <c r="H640" s="43">
        <v>1.0</v>
      </c>
      <c r="I640" s="43">
        <v>1.0</v>
      </c>
      <c r="J640" s="43" t="s">
        <v>658</v>
      </c>
      <c r="K640" s="45" t="s">
        <v>1715</v>
      </c>
      <c r="L640" s="45" t="s">
        <v>1716</v>
      </c>
      <c r="M640" s="240" t="s">
        <v>1717</v>
      </c>
      <c r="N640" s="240" t="s">
        <v>1718</v>
      </c>
      <c r="O640" s="255"/>
      <c r="P640" s="240" t="s">
        <v>1719</v>
      </c>
      <c r="Q640" s="47"/>
      <c r="R640" s="47">
        <f>FDIST(3.44,1,45)</f>
        <v>0.07019495997</v>
      </c>
      <c r="S640" s="47">
        <f t="shared" si="98"/>
        <v>1.810650564</v>
      </c>
      <c r="T640" s="47">
        <f t="shared" si="99"/>
        <v>0.4406389543</v>
      </c>
      <c r="U640" s="259" t="s">
        <v>1720</v>
      </c>
    </row>
    <row r="641">
      <c r="A641" s="41"/>
      <c r="B641" s="42">
        <v>262.0</v>
      </c>
      <c r="C641" s="43"/>
      <c r="D641" s="41"/>
      <c r="E641" s="41"/>
      <c r="F641" s="43"/>
      <c r="G641" s="43"/>
      <c r="H641" s="43">
        <v>1.0</v>
      </c>
      <c r="I641" s="43">
        <v>1.0</v>
      </c>
      <c r="J641" s="43" t="s">
        <v>475</v>
      </c>
      <c r="K641" s="45" t="s">
        <v>1721</v>
      </c>
      <c r="L641" s="45" t="s">
        <v>1722</v>
      </c>
      <c r="M641" s="240" t="s">
        <v>1723</v>
      </c>
      <c r="N641" s="240" t="s">
        <v>1724</v>
      </c>
      <c r="O641" s="255"/>
      <c r="P641" s="240" t="s">
        <v>267</v>
      </c>
      <c r="Q641" s="47"/>
      <c r="R641" s="47">
        <f>FDIST(3.62,1,45)</f>
        <v>0.06349942605</v>
      </c>
      <c r="S641" s="47">
        <f t="shared" si="98"/>
        <v>1.855678296</v>
      </c>
      <c r="T641" s="47">
        <f t="shared" si="99"/>
        <v>0.4584570272</v>
      </c>
      <c r="U641" s="259" t="s">
        <v>1720</v>
      </c>
    </row>
    <row r="642">
      <c r="A642" s="22"/>
      <c r="B642" s="74">
        <v>262.0</v>
      </c>
      <c r="C642" s="62"/>
      <c r="D642" s="22"/>
      <c r="E642" s="22"/>
      <c r="F642" s="62"/>
      <c r="G642" s="62"/>
      <c r="H642" s="62"/>
      <c r="I642" s="62">
        <v>1.0</v>
      </c>
      <c r="J642" s="62" t="s">
        <v>480</v>
      </c>
      <c r="K642" s="64" t="s">
        <v>1725</v>
      </c>
      <c r="L642" s="64" t="s">
        <v>1726</v>
      </c>
      <c r="M642" s="258" t="s">
        <v>724</v>
      </c>
      <c r="N642" s="256"/>
      <c r="O642" s="256"/>
      <c r="P642" s="256"/>
      <c r="Q642" s="66"/>
      <c r="R642" s="66"/>
      <c r="S642" s="66"/>
      <c r="T642" s="66">
        <f t="shared" si="99"/>
        <v>0.02499789515</v>
      </c>
      <c r="U642" s="67"/>
    </row>
    <row r="643">
      <c r="A643" s="41"/>
      <c r="B643" s="42">
        <v>262.0</v>
      </c>
      <c r="C643" s="43"/>
      <c r="D643" s="41"/>
      <c r="E643" s="41"/>
      <c r="F643" s="43"/>
      <c r="G643" s="43"/>
      <c r="H643" s="43">
        <v>1.0</v>
      </c>
      <c r="I643" s="43">
        <v>1.0</v>
      </c>
      <c r="J643" s="43" t="s">
        <v>483</v>
      </c>
      <c r="K643" s="45" t="s">
        <v>1727</v>
      </c>
      <c r="L643" s="45" t="s">
        <v>1728</v>
      </c>
      <c r="M643" s="240" t="s">
        <v>1729</v>
      </c>
      <c r="N643" s="103" t="s">
        <v>1730</v>
      </c>
      <c r="O643" s="255"/>
      <c r="P643" s="240" t="s">
        <v>1731</v>
      </c>
      <c r="Q643" s="47"/>
      <c r="R643" s="47">
        <f>FDIST(21.05,1,45)</f>
        <v>0.00003576126785</v>
      </c>
      <c r="S643" s="47">
        <f>NORMINV(1-R643/2,0,1)</f>
        <v>4.133286378</v>
      </c>
      <c r="T643" s="47">
        <f t="shared" si="99"/>
        <v>0.985120615</v>
      </c>
      <c r="U643" s="50"/>
    </row>
    <row r="644">
      <c r="A644" s="22"/>
      <c r="B644" s="104">
        <v>262.0</v>
      </c>
      <c r="C644" s="105"/>
      <c r="D644" s="106"/>
      <c r="E644" s="106"/>
      <c r="F644" s="105"/>
      <c r="G644" s="105"/>
      <c r="H644" s="105"/>
      <c r="I644" s="105">
        <v>1.0</v>
      </c>
      <c r="J644" s="105" t="s">
        <v>488</v>
      </c>
      <c r="K644" s="108" t="s">
        <v>1732</v>
      </c>
      <c r="L644" s="108" t="s">
        <v>1733</v>
      </c>
      <c r="M644" s="260" t="s">
        <v>724</v>
      </c>
      <c r="N644" s="261"/>
      <c r="O644" s="261"/>
      <c r="P644" s="261"/>
      <c r="Q644" s="110"/>
      <c r="R644" s="110"/>
      <c r="S644" s="110"/>
      <c r="T644" s="110"/>
      <c r="U644" s="111"/>
    </row>
    <row r="645">
      <c r="A645" s="7"/>
      <c r="B645" s="8">
        <v>263.0</v>
      </c>
      <c r="C645" s="14" t="s">
        <v>1734</v>
      </c>
      <c r="D645" s="7" t="s">
        <v>307</v>
      </c>
      <c r="E645" s="11"/>
      <c r="F645" s="8" t="s">
        <v>1735</v>
      </c>
      <c r="G645" s="8">
        <v>2012.0</v>
      </c>
      <c r="H645" s="8"/>
      <c r="I645" s="8"/>
      <c r="J645" s="8"/>
      <c r="K645" s="16"/>
      <c r="L645" s="13"/>
      <c r="M645" s="15"/>
      <c r="N645" s="15"/>
      <c r="O645" s="15"/>
      <c r="P645" s="15"/>
      <c r="Q645" s="15"/>
      <c r="R645" s="15"/>
      <c r="S645" s="15"/>
      <c r="T645" s="15"/>
      <c r="U645" s="16"/>
    </row>
    <row r="646">
      <c r="A646" s="7"/>
      <c r="B646" s="8">
        <v>264.0</v>
      </c>
      <c r="C646" s="14" t="s">
        <v>1736</v>
      </c>
      <c r="D646" s="251" t="s">
        <v>48</v>
      </c>
      <c r="E646" s="251" t="s">
        <v>61</v>
      </c>
      <c r="F646" s="8" t="s">
        <v>1737</v>
      </c>
      <c r="G646" s="8">
        <v>2018.0</v>
      </c>
      <c r="H646" s="8"/>
      <c r="I646" s="8"/>
      <c r="J646" s="8"/>
      <c r="K646" s="16"/>
      <c r="L646" s="13"/>
      <c r="M646" s="15"/>
      <c r="N646" s="15"/>
      <c r="O646" s="15"/>
      <c r="P646" s="15"/>
      <c r="Q646" s="15"/>
      <c r="R646" s="15"/>
      <c r="S646" s="15"/>
      <c r="T646" s="15"/>
      <c r="U646" s="16"/>
    </row>
    <row r="647">
      <c r="A647" s="7"/>
      <c r="B647" s="8">
        <v>265.0</v>
      </c>
      <c r="C647" s="14" t="s">
        <v>1738</v>
      </c>
      <c r="D647" s="7" t="s">
        <v>45</v>
      </c>
      <c r="E647" s="11"/>
      <c r="F647" s="8" t="s">
        <v>1739</v>
      </c>
      <c r="G647" s="8">
        <v>2009.0</v>
      </c>
      <c r="H647" s="8"/>
      <c r="I647" s="8"/>
      <c r="J647" s="8"/>
      <c r="K647" s="16"/>
      <c r="L647" s="13"/>
      <c r="M647" s="15"/>
      <c r="N647" s="15"/>
      <c r="O647" s="15"/>
      <c r="P647" s="15"/>
      <c r="Q647" s="15"/>
      <c r="R647" s="15"/>
      <c r="S647" s="15"/>
      <c r="T647" s="15"/>
      <c r="U647" s="16"/>
    </row>
    <row r="648">
      <c r="A648" s="7"/>
      <c r="B648" s="8">
        <v>266.0</v>
      </c>
      <c r="C648" s="14" t="s">
        <v>1740</v>
      </c>
      <c r="D648" s="7" t="s">
        <v>698</v>
      </c>
      <c r="E648" s="11"/>
      <c r="F648" s="8" t="s">
        <v>1741</v>
      </c>
      <c r="G648" s="8">
        <v>2016.0</v>
      </c>
      <c r="H648" s="8"/>
      <c r="I648" s="8"/>
      <c r="J648" s="8"/>
      <c r="K648" s="16"/>
      <c r="L648" s="13"/>
      <c r="M648" s="15"/>
      <c r="N648" s="15"/>
      <c r="O648" s="15"/>
      <c r="P648" s="15"/>
      <c r="Q648" s="15"/>
      <c r="R648" s="15"/>
      <c r="S648" s="15"/>
      <c r="T648" s="15"/>
      <c r="U648" s="16"/>
    </row>
    <row r="649">
      <c r="A649" s="7"/>
      <c r="B649" s="8">
        <v>267.0</v>
      </c>
      <c r="C649" s="14" t="s">
        <v>1742</v>
      </c>
      <c r="D649" s="7" t="s">
        <v>45</v>
      </c>
      <c r="E649" s="11"/>
      <c r="F649" s="8" t="s">
        <v>1743</v>
      </c>
      <c r="G649" s="8">
        <v>2007.0</v>
      </c>
      <c r="H649" s="8"/>
      <c r="I649" s="8"/>
      <c r="J649" s="8"/>
      <c r="K649" s="16"/>
      <c r="L649" s="13"/>
      <c r="M649" s="15"/>
      <c r="N649" s="15"/>
      <c r="O649" s="15"/>
      <c r="P649" s="15"/>
      <c r="Q649" s="15"/>
      <c r="R649" s="15"/>
      <c r="S649" s="15"/>
      <c r="T649" s="15"/>
      <c r="U649" s="16"/>
    </row>
    <row r="650">
      <c r="A650" s="7"/>
      <c r="B650" s="8">
        <v>268.0</v>
      </c>
      <c r="C650" s="14" t="s">
        <v>1744</v>
      </c>
      <c r="D650" s="7" t="s">
        <v>1745</v>
      </c>
      <c r="E650" s="11"/>
      <c r="F650" s="8" t="s">
        <v>1746</v>
      </c>
      <c r="G650" s="8">
        <v>2009.0</v>
      </c>
      <c r="H650" s="8"/>
      <c r="I650" s="8"/>
      <c r="J650" s="8"/>
      <c r="K650" s="16"/>
      <c r="L650" s="13"/>
      <c r="M650" s="15"/>
      <c r="N650" s="15"/>
      <c r="O650" s="15"/>
      <c r="P650" s="15"/>
      <c r="Q650" s="15"/>
      <c r="R650" s="15"/>
      <c r="S650" s="15"/>
      <c r="T650" s="15"/>
      <c r="U650" s="16"/>
    </row>
    <row r="651">
      <c r="A651" s="7"/>
      <c r="B651" s="8">
        <v>269.0</v>
      </c>
      <c r="C651" s="14" t="s">
        <v>1747</v>
      </c>
      <c r="D651" s="7" t="s">
        <v>698</v>
      </c>
      <c r="E651" s="7"/>
      <c r="F651" s="8" t="s">
        <v>1748</v>
      </c>
      <c r="G651" s="8">
        <v>2001.0</v>
      </c>
      <c r="H651" s="8"/>
      <c r="I651" s="8"/>
      <c r="J651" s="8"/>
      <c r="K651" s="16"/>
      <c r="L651" s="13"/>
      <c r="M651" s="15"/>
      <c r="N651" s="15"/>
      <c r="O651" s="15"/>
      <c r="P651" s="15"/>
      <c r="Q651" s="15"/>
      <c r="R651" s="15"/>
      <c r="S651" s="15"/>
      <c r="T651" s="15"/>
      <c r="U651" s="16"/>
    </row>
    <row r="652">
      <c r="A652" s="7"/>
      <c r="B652" s="8"/>
      <c r="C652" s="8"/>
      <c r="D652" s="7"/>
      <c r="E652" s="7"/>
      <c r="F652" s="8"/>
      <c r="G652" s="8"/>
      <c r="H652" s="8"/>
      <c r="I652" s="8"/>
      <c r="J652" s="8"/>
      <c r="K652" s="16"/>
      <c r="L652" s="13"/>
      <c r="M652" s="15"/>
      <c r="N652" s="15"/>
      <c r="O652" s="15"/>
      <c r="P652" s="15"/>
      <c r="Q652" s="15"/>
      <c r="R652" s="15"/>
      <c r="S652" s="15"/>
      <c r="T652" s="15"/>
      <c r="U652" s="16"/>
    </row>
    <row r="653">
      <c r="A653" s="68">
        <v>1.0</v>
      </c>
      <c r="B653" s="210">
        <v>270.0</v>
      </c>
      <c r="C653" s="211" t="s">
        <v>1749</v>
      </c>
      <c r="D653" s="212" t="s">
        <v>48</v>
      </c>
      <c r="E653" s="212" t="s">
        <v>32</v>
      </c>
      <c r="F653" s="213" t="s">
        <v>1750</v>
      </c>
      <c r="G653" s="213">
        <v>2001.0</v>
      </c>
      <c r="H653" s="213">
        <v>1.0</v>
      </c>
      <c r="I653" s="213">
        <v>1.0</v>
      </c>
      <c r="J653" s="213" t="s">
        <v>199</v>
      </c>
      <c r="K653" s="215" t="s">
        <v>1751</v>
      </c>
      <c r="L653" s="215" t="s">
        <v>1752</v>
      </c>
      <c r="M653" s="214" t="s">
        <v>1753</v>
      </c>
      <c r="N653" s="214" t="s">
        <v>169</v>
      </c>
      <c r="O653" s="216"/>
      <c r="P653" s="214" t="s">
        <v>1754</v>
      </c>
      <c r="Q653" s="216"/>
      <c r="R653" s="216">
        <f>TDIST(2.26,338,1)</f>
        <v>0.01222864079</v>
      </c>
      <c r="S653" s="216">
        <f>NORMINV(1-R653/2,0,1)</f>
        <v>2.505476839</v>
      </c>
      <c r="T653" s="216">
        <f>NORMDIST(S653,1.96,1,TRUE)</f>
        <v>0.7072871972</v>
      </c>
      <c r="U653" s="217"/>
    </row>
    <row r="654">
      <c r="A654" s="22"/>
      <c r="B654" s="74">
        <v>270.0</v>
      </c>
      <c r="C654" s="62"/>
      <c r="D654" s="22"/>
      <c r="E654" s="22"/>
      <c r="F654" s="62"/>
      <c r="G654" s="62"/>
      <c r="H654" s="62"/>
      <c r="I654" s="62">
        <v>1.0</v>
      </c>
      <c r="J654" s="62" t="s">
        <v>206</v>
      </c>
      <c r="K654" s="64" t="s">
        <v>1755</v>
      </c>
      <c r="L654" s="64" t="s">
        <v>1756</v>
      </c>
      <c r="M654" s="66"/>
      <c r="N654" s="66"/>
      <c r="O654" s="66"/>
      <c r="P654" s="66"/>
      <c r="Q654" s="66"/>
      <c r="R654" s="66"/>
      <c r="S654" s="66"/>
      <c r="T654" s="66"/>
      <c r="U654" s="67"/>
    </row>
    <row r="655">
      <c r="A655" s="48"/>
      <c r="B655" s="97">
        <v>270.0</v>
      </c>
      <c r="C655" s="49"/>
      <c r="D655" s="48"/>
      <c r="E655" s="48"/>
      <c r="F655" s="49"/>
      <c r="G655" s="49"/>
      <c r="H655" s="49"/>
      <c r="I655" s="49">
        <v>1.0</v>
      </c>
      <c r="J655" s="262">
        <v>2.0</v>
      </c>
      <c r="K655" s="53" t="s">
        <v>1757</v>
      </c>
      <c r="L655" s="53" t="s">
        <v>1758</v>
      </c>
      <c r="M655" s="98" t="s">
        <v>1759</v>
      </c>
      <c r="N655" s="98" t="s">
        <v>119</v>
      </c>
      <c r="O655" s="55"/>
      <c r="P655" s="98" t="s">
        <v>1760</v>
      </c>
      <c r="Q655" s="55"/>
      <c r="R655" s="55">
        <f>TDIST(3.13,336,2)</f>
        <v>0.001901298486</v>
      </c>
      <c r="S655" s="55">
        <f t="shared" ref="S655:S657" si="100">NORMINV(1-R655/2,0,1)</f>
        <v>3.105231971</v>
      </c>
      <c r="T655" s="98">
        <v>0.985120615</v>
      </c>
      <c r="U655" s="99" t="s">
        <v>1761</v>
      </c>
    </row>
    <row r="656">
      <c r="A656" s="48"/>
      <c r="B656" s="97">
        <v>270.0</v>
      </c>
      <c r="C656" s="49"/>
      <c r="D656" s="48"/>
      <c r="E656" s="48"/>
      <c r="F656" s="49"/>
      <c r="G656" s="49"/>
      <c r="H656" s="49"/>
      <c r="I656" s="49">
        <v>1.0</v>
      </c>
      <c r="J656" s="49" t="s">
        <v>53</v>
      </c>
      <c r="K656" s="53" t="s">
        <v>1762</v>
      </c>
      <c r="L656" s="53" t="s">
        <v>1763</v>
      </c>
      <c r="M656" s="98" t="s">
        <v>1764</v>
      </c>
      <c r="N656" s="98" t="s">
        <v>428</v>
      </c>
      <c r="O656" s="55"/>
      <c r="P656" s="55"/>
      <c r="Q656" s="55"/>
      <c r="R656" s="55">
        <f>TDIST(0.52,333,2)</f>
        <v>0.6034090822</v>
      </c>
      <c r="S656" s="55">
        <f t="shared" si="100"/>
        <v>0.5195043477</v>
      </c>
      <c r="T656" s="55">
        <f t="shared" ref="T656:T657" si="101">NORMDIST(S656,1.96,1,TRUE)</f>
        <v>0.0748636096</v>
      </c>
      <c r="U656" s="99"/>
    </row>
    <row r="657">
      <c r="A657" s="41"/>
      <c r="B657" s="83">
        <v>270.0</v>
      </c>
      <c r="C657" s="75"/>
      <c r="D657" s="76"/>
      <c r="E657" s="76"/>
      <c r="F657" s="75"/>
      <c r="G657" s="75"/>
      <c r="H657" s="75"/>
      <c r="I657" s="75">
        <v>1.0</v>
      </c>
      <c r="J657" s="75" t="s">
        <v>65</v>
      </c>
      <c r="K657" s="78" t="s">
        <v>1765</v>
      </c>
      <c r="L657" s="78" t="s">
        <v>1766</v>
      </c>
      <c r="M657" s="77" t="s">
        <v>1767</v>
      </c>
      <c r="N657" s="77" t="s">
        <v>119</v>
      </c>
      <c r="O657" s="80"/>
      <c r="P657" s="80"/>
      <c r="Q657" s="80"/>
      <c r="R657" s="80">
        <f>FDIST(7.39,1,173)</f>
        <v>0.007226839837</v>
      </c>
      <c r="S657" s="80">
        <f t="shared" si="100"/>
        <v>2.686206552</v>
      </c>
      <c r="T657" s="80">
        <f t="shared" si="101"/>
        <v>0.7661439222</v>
      </c>
      <c r="U657" s="81" t="s">
        <v>1768</v>
      </c>
    </row>
    <row r="658">
      <c r="A658" s="7"/>
      <c r="B658" s="8">
        <v>271.0</v>
      </c>
      <c r="C658" s="14" t="s">
        <v>1769</v>
      </c>
      <c r="D658" s="251" t="s">
        <v>1770</v>
      </c>
      <c r="E658" s="11"/>
      <c r="F658" s="12"/>
      <c r="G658" s="12"/>
      <c r="H658" s="8"/>
      <c r="I658" s="8"/>
      <c r="J658" s="8"/>
      <c r="K658" s="16"/>
      <c r="L658" s="13"/>
      <c r="M658" s="15"/>
      <c r="N658" s="15"/>
      <c r="O658" s="15"/>
      <c r="P658" s="15"/>
      <c r="Q658" s="15"/>
      <c r="R658" s="15"/>
      <c r="S658" s="15"/>
      <c r="T658" s="15"/>
      <c r="U658" s="16"/>
    </row>
    <row r="659">
      <c r="A659" s="7"/>
      <c r="B659" s="8">
        <v>272.0</v>
      </c>
      <c r="C659" s="14" t="s">
        <v>1771</v>
      </c>
      <c r="D659" s="7" t="s">
        <v>149</v>
      </c>
      <c r="E659" s="11"/>
      <c r="F659" s="8" t="s">
        <v>1219</v>
      </c>
      <c r="G659" s="8">
        <v>2017.0</v>
      </c>
      <c r="H659" s="8"/>
      <c r="I659" s="8"/>
      <c r="J659" s="8"/>
      <c r="K659" s="16"/>
      <c r="L659" s="13"/>
      <c r="M659" s="15"/>
      <c r="N659" s="15"/>
      <c r="O659" s="15"/>
      <c r="P659" s="15"/>
      <c r="Q659" s="15"/>
      <c r="R659" s="15"/>
      <c r="S659" s="15"/>
      <c r="T659" s="15"/>
      <c r="U659" s="16"/>
    </row>
    <row r="660">
      <c r="A660" s="7"/>
      <c r="B660" s="8">
        <v>273.0</v>
      </c>
      <c r="C660" s="14" t="s">
        <v>1772</v>
      </c>
      <c r="D660" s="251" t="s">
        <v>48</v>
      </c>
      <c r="E660" s="251" t="s">
        <v>61</v>
      </c>
      <c r="F660" s="8" t="s">
        <v>1773</v>
      </c>
      <c r="G660" s="8">
        <v>2017.0</v>
      </c>
      <c r="H660" s="8"/>
      <c r="I660" s="8"/>
      <c r="J660" s="8"/>
      <c r="K660" s="16"/>
      <c r="L660" s="13"/>
      <c r="M660" s="15"/>
      <c r="N660" s="15"/>
      <c r="O660" s="15"/>
      <c r="P660" s="15"/>
      <c r="Q660" s="15"/>
      <c r="R660" s="15"/>
      <c r="S660" s="15"/>
      <c r="T660" s="15"/>
      <c r="U660" s="16"/>
    </row>
    <row r="661">
      <c r="A661" s="7"/>
      <c r="B661" s="8">
        <v>274.0</v>
      </c>
      <c r="C661" s="14" t="s">
        <v>1774</v>
      </c>
      <c r="D661" s="7" t="s">
        <v>307</v>
      </c>
      <c r="E661" s="11"/>
      <c r="F661" s="8" t="s">
        <v>1775</v>
      </c>
      <c r="G661" s="8">
        <v>2007.0</v>
      </c>
      <c r="H661" s="8"/>
      <c r="I661" s="8"/>
      <c r="J661" s="8"/>
      <c r="K661" s="16"/>
      <c r="L661" s="13"/>
      <c r="M661" s="15"/>
      <c r="N661" s="15"/>
      <c r="O661" s="15"/>
      <c r="P661" s="15"/>
      <c r="Q661" s="15"/>
      <c r="R661" s="15"/>
      <c r="S661" s="15"/>
      <c r="T661" s="15"/>
      <c r="U661" s="16"/>
    </row>
    <row r="662">
      <c r="A662" s="7"/>
      <c r="B662" s="8">
        <v>275.0</v>
      </c>
      <c r="C662" s="14" t="s">
        <v>1776</v>
      </c>
      <c r="D662" s="7" t="s">
        <v>307</v>
      </c>
      <c r="E662" s="11"/>
      <c r="F662" s="8" t="s">
        <v>1777</v>
      </c>
      <c r="G662" s="8">
        <v>2000.0</v>
      </c>
      <c r="H662" s="8"/>
      <c r="I662" s="8"/>
      <c r="J662" s="8"/>
      <c r="K662" s="16"/>
      <c r="L662" s="13"/>
      <c r="M662" s="15"/>
      <c r="N662" s="15"/>
      <c r="O662" s="15"/>
      <c r="P662" s="15"/>
      <c r="Q662" s="15"/>
      <c r="R662" s="15"/>
      <c r="S662" s="15"/>
      <c r="T662" s="15"/>
      <c r="U662" s="16"/>
    </row>
    <row r="663">
      <c r="A663" s="7"/>
      <c r="B663" s="8">
        <v>276.0</v>
      </c>
      <c r="C663" s="14" t="s">
        <v>1778</v>
      </c>
      <c r="D663" s="116" t="s">
        <v>1005</v>
      </c>
      <c r="E663" s="11"/>
      <c r="F663" s="8" t="s">
        <v>1779</v>
      </c>
      <c r="G663" s="8">
        <v>2002.0</v>
      </c>
      <c r="H663" s="8"/>
      <c r="I663" s="8"/>
      <c r="J663" s="8"/>
      <c r="K663" s="16"/>
      <c r="L663" s="13"/>
      <c r="M663" s="15"/>
      <c r="N663" s="15"/>
      <c r="O663" s="15"/>
      <c r="P663" s="15"/>
      <c r="Q663" s="15"/>
      <c r="R663" s="15"/>
      <c r="S663" s="15"/>
      <c r="T663" s="15"/>
      <c r="U663" s="16"/>
    </row>
    <row r="664">
      <c r="A664" s="41">
        <v>1.0</v>
      </c>
      <c r="B664" s="86">
        <v>277.0</v>
      </c>
      <c r="C664" s="87" t="s">
        <v>1780</v>
      </c>
      <c r="D664" s="88" t="s">
        <v>48</v>
      </c>
      <c r="E664" s="88" t="s">
        <v>32</v>
      </c>
      <c r="F664" s="89" t="s">
        <v>1348</v>
      </c>
      <c r="G664" s="89">
        <v>2004.0</v>
      </c>
      <c r="H664" s="89">
        <v>1.0</v>
      </c>
      <c r="I664" s="89">
        <v>1.0</v>
      </c>
      <c r="J664" s="89" t="s">
        <v>199</v>
      </c>
      <c r="K664" s="91" t="s">
        <v>1781</v>
      </c>
      <c r="L664" s="91" t="s">
        <v>1782</v>
      </c>
      <c r="M664" s="263" t="s">
        <v>1783</v>
      </c>
      <c r="N664" s="92"/>
      <c r="O664" s="92"/>
      <c r="P664" s="92"/>
      <c r="Q664" s="92"/>
      <c r="R664" s="92"/>
      <c r="S664" s="92"/>
      <c r="T664" s="92"/>
      <c r="U664" s="93"/>
    </row>
    <row r="665">
      <c r="A665" s="41"/>
      <c r="B665" s="42">
        <v>277.0</v>
      </c>
      <c r="C665" s="43"/>
      <c r="D665" s="41"/>
      <c r="E665" s="41"/>
      <c r="F665" s="43"/>
      <c r="G665" s="43"/>
      <c r="H665" s="43">
        <v>1.0</v>
      </c>
      <c r="I665" s="43">
        <v>1.0</v>
      </c>
      <c r="J665" s="43" t="s">
        <v>206</v>
      </c>
      <c r="K665" s="45" t="s">
        <v>1784</v>
      </c>
      <c r="L665" s="45" t="s">
        <v>1785</v>
      </c>
      <c r="M665" s="240" t="s">
        <v>1786</v>
      </c>
      <c r="N665" s="47"/>
      <c r="O665" s="47"/>
      <c r="P665" s="47"/>
      <c r="Q665" s="47"/>
      <c r="R665" s="47"/>
      <c r="S665" s="47"/>
      <c r="T665" s="47"/>
      <c r="U665" s="50"/>
    </row>
    <row r="666">
      <c r="A666" s="22"/>
      <c r="B666" s="74">
        <v>277.0</v>
      </c>
      <c r="C666" s="62"/>
      <c r="D666" s="22"/>
      <c r="E666" s="22"/>
      <c r="F666" s="62"/>
      <c r="G666" s="62"/>
      <c r="H666" s="62"/>
      <c r="I666" s="62">
        <v>1.0</v>
      </c>
      <c r="J666" s="264">
        <v>2.0</v>
      </c>
      <c r="K666" s="64" t="s">
        <v>1787</v>
      </c>
      <c r="L666" s="64" t="s">
        <v>1788</v>
      </c>
      <c r="M666" s="66"/>
      <c r="N666" s="66"/>
      <c r="O666" s="66"/>
      <c r="P666" s="66"/>
      <c r="Q666" s="66"/>
      <c r="R666" s="66"/>
      <c r="S666" s="66"/>
      <c r="T666" s="66"/>
      <c r="U666" s="67"/>
    </row>
    <row r="667">
      <c r="A667" s="22"/>
      <c r="B667" s="74">
        <v>277.0</v>
      </c>
      <c r="C667" s="62"/>
      <c r="D667" s="22"/>
      <c r="E667" s="22"/>
      <c r="F667" s="62"/>
      <c r="G667" s="62"/>
      <c r="H667" s="62"/>
      <c r="I667" s="62">
        <v>1.0</v>
      </c>
      <c r="J667" s="264">
        <v>3.0</v>
      </c>
      <c r="K667" s="64" t="s">
        <v>1789</v>
      </c>
      <c r="L667" s="64" t="s">
        <v>1790</v>
      </c>
      <c r="M667" s="66"/>
      <c r="N667" s="66"/>
      <c r="O667" s="66"/>
      <c r="P667" s="66"/>
      <c r="Q667" s="66"/>
      <c r="R667" s="66"/>
      <c r="S667" s="66"/>
      <c r="T667" s="66"/>
      <c r="U667" s="67"/>
    </row>
    <row r="668">
      <c r="A668" s="22"/>
      <c r="B668" s="74">
        <v>277.0</v>
      </c>
      <c r="C668" s="62"/>
      <c r="D668" s="22"/>
      <c r="E668" s="22"/>
      <c r="F668" s="62"/>
      <c r="G668" s="62"/>
      <c r="H668" s="62"/>
      <c r="I668" s="62">
        <v>1.0</v>
      </c>
      <c r="J668" s="62" t="s">
        <v>130</v>
      </c>
      <c r="K668" s="64" t="s">
        <v>1791</v>
      </c>
      <c r="L668" s="64" t="s">
        <v>1792</v>
      </c>
      <c r="M668" s="66"/>
      <c r="N668" s="66"/>
      <c r="O668" s="66"/>
      <c r="P668" s="66"/>
      <c r="Q668" s="66"/>
      <c r="R668" s="66"/>
      <c r="S668" s="66"/>
      <c r="T668" s="66"/>
      <c r="U668" s="67"/>
    </row>
    <row r="669">
      <c r="A669" s="22"/>
      <c r="B669" s="74">
        <v>277.0</v>
      </c>
      <c r="C669" s="62"/>
      <c r="D669" s="22"/>
      <c r="E669" s="22"/>
      <c r="F669" s="62"/>
      <c r="G669" s="62"/>
      <c r="H669" s="62"/>
      <c r="I669" s="62">
        <v>1.0</v>
      </c>
      <c r="J669" s="62" t="s">
        <v>134</v>
      </c>
      <c r="K669" s="64" t="s">
        <v>1793</v>
      </c>
      <c r="L669" s="64" t="s">
        <v>1794</v>
      </c>
      <c r="M669" s="66"/>
      <c r="N669" s="66"/>
      <c r="O669" s="66"/>
      <c r="P669" s="66"/>
      <c r="Q669" s="66"/>
      <c r="R669" s="66"/>
      <c r="S669" s="66"/>
      <c r="T669" s="66"/>
      <c r="U669" s="67" t="s">
        <v>1795</v>
      </c>
    </row>
    <row r="670">
      <c r="A670" s="41"/>
      <c r="B670" s="42">
        <v>277.0</v>
      </c>
      <c r="C670" s="43"/>
      <c r="D670" s="41"/>
      <c r="E670" s="41"/>
      <c r="F670" s="43"/>
      <c r="G670" s="43"/>
      <c r="H670" s="43">
        <v>1.0</v>
      </c>
      <c r="I670" s="43">
        <v>1.0</v>
      </c>
      <c r="J670" s="43" t="s">
        <v>835</v>
      </c>
      <c r="K670" s="45" t="s">
        <v>1796</v>
      </c>
      <c r="L670" s="45" t="s">
        <v>1797</v>
      </c>
      <c r="M670" s="44" t="s">
        <v>1798</v>
      </c>
      <c r="N670" s="47"/>
      <c r="O670" s="47"/>
      <c r="P670" s="47"/>
      <c r="Q670" s="47"/>
      <c r="R670" s="47"/>
      <c r="S670" s="47"/>
      <c r="T670" s="47"/>
      <c r="U670" s="50"/>
    </row>
    <row r="671">
      <c r="A671" s="41"/>
      <c r="B671" s="42">
        <v>277.0</v>
      </c>
      <c r="C671" s="43"/>
      <c r="D671" s="41"/>
      <c r="E671" s="41"/>
      <c r="F671" s="43"/>
      <c r="G671" s="43"/>
      <c r="H671" s="43">
        <v>1.0</v>
      </c>
      <c r="I671" s="43">
        <v>1.0</v>
      </c>
      <c r="J671" s="43" t="s">
        <v>838</v>
      </c>
      <c r="K671" s="45" t="s">
        <v>1799</v>
      </c>
      <c r="L671" s="45" t="s">
        <v>1800</v>
      </c>
      <c r="M671" s="44" t="s">
        <v>1801</v>
      </c>
      <c r="N671" s="47"/>
      <c r="O671" s="47"/>
      <c r="P671" s="47"/>
      <c r="Q671" s="47"/>
      <c r="R671" s="47"/>
      <c r="S671" s="47"/>
      <c r="T671" s="47"/>
      <c r="U671" s="50"/>
    </row>
    <row r="672">
      <c r="A672" s="41"/>
      <c r="B672" s="42">
        <v>277.0</v>
      </c>
      <c r="C672" s="43"/>
      <c r="D672" s="41"/>
      <c r="E672" s="41"/>
      <c r="F672" s="43"/>
      <c r="G672" s="43"/>
      <c r="H672" s="43">
        <v>1.0</v>
      </c>
      <c r="I672" s="43">
        <v>1.0</v>
      </c>
      <c r="J672" s="43" t="s">
        <v>654</v>
      </c>
      <c r="K672" s="45" t="s">
        <v>1802</v>
      </c>
      <c r="L672" s="45" t="s">
        <v>1803</v>
      </c>
      <c r="M672" s="44" t="s">
        <v>1804</v>
      </c>
      <c r="N672" s="47"/>
      <c r="O672" s="47"/>
      <c r="P672" s="47"/>
      <c r="Q672" s="47"/>
      <c r="R672" s="47"/>
      <c r="S672" s="47"/>
      <c r="T672" s="47"/>
      <c r="U672" s="50"/>
    </row>
    <row r="673">
      <c r="A673" s="41"/>
      <c r="B673" s="42">
        <v>277.0</v>
      </c>
      <c r="C673" s="43"/>
      <c r="D673" s="41"/>
      <c r="E673" s="41"/>
      <c r="F673" s="43"/>
      <c r="G673" s="43"/>
      <c r="H673" s="43">
        <v>1.0</v>
      </c>
      <c r="I673" s="43">
        <v>1.0</v>
      </c>
      <c r="J673" s="43" t="s">
        <v>658</v>
      </c>
      <c r="K673" s="45" t="s">
        <v>1805</v>
      </c>
      <c r="L673" s="45" t="s">
        <v>1806</v>
      </c>
      <c r="M673" s="44" t="s">
        <v>1807</v>
      </c>
      <c r="N673" s="47"/>
      <c r="O673" s="47"/>
      <c r="P673" s="47"/>
      <c r="Q673" s="47"/>
      <c r="R673" s="47"/>
      <c r="S673" s="47"/>
      <c r="T673" s="47"/>
      <c r="U673" s="50"/>
    </row>
    <row r="674">
      <c r="A674" s="22"/>
      <c r="B674" s="74">
        <v>277.0</v>
      </c>
      <c r="C674" s="62"/>
      <c r="D674" s="22"/>
      <c r="E674" s="22"/>
      <c r="F674" s="62"/>
      <c r="G674" s="62"/>
      <c r="H674" s="62"/>
      <c r="I674" s="62">
        <v>1.0</v>
      </c>
      <c r="J674" s="62" t="s">
        <v>1514</v>
      </c>
      <c r="K674" s="64" t="s">
        <v>1808</v>
      </c>
      <c r="L674" s="64" t="s">
        <v>1794</v>
      </c>
      <c r="M674" s="66"/>
      <c r="N674" s="66"/>
      <c r="O674" s="66"/>
      <c r="P674" s="66"/>
      <c r="Q674" s="66"/>
      <c r="R674" s="66"/>
      <c r="S674" s="66"/>
      <c r="T674" s="66"/>
      <c r="U674" s="67"/>
    </row>
    <row r="675">
      <c r="A675" s="22"/>
      <c r="B675" s="104">
        <v>277.0</v>
      </c>
      <c r="C675" s="105"/>
      <c r="D675" s="106"/>
      <c r="E675" s="106"/>
      <c r="F675" s="105"/>
      <c r="G675" s="105"/>
      <c r="H675" s="105"/>
      <c r="I675" s="105">
        <v>1.0</v>
      </c>
      <c r="J675" s="105" t="s">
        <v>1517</v>
      </c>
      <c r="K675" s="108" t="s">
        <v>1809</v>
      </c>
      <c r="L675" s="108" t="s">
        <v>1794</v>
      </c>
      <c r="M675" s="110"/>
      <c r="N675" s="110"/>
      <c r="O675" s="110"/>
      <c r="P675" s="110"/>
      <c r="Q675" s="110"/>
      <c r="R675" s="110"/>
      <c r="S675" s="110"/>
      <c r="T675" s="110"/>
      <c r="U675" s="111"/>
    </row>
    <row r="676">
      <c r="A676" s="7"/>
      <c r="B676" s="8"/>
      <c r="C676" s="8"/>
      <c r="D676" s="7"/>
      <c r="E676" s="7"/>
      <c r="F676" s="8"/>
      <c r="G676" s="8"/>
      <c r="H676" s="8"/>
      <c r="I676" s="8"/>
      <c r="J676" s="8"/>
      <c r="K676" s="16"/>
      <c r="L676" s="13"/>
      <c r="M676" s="15"/>
      <c r="N676" s="15"/>
      <c r="O676" s="15"/>
      <c r="P676" s="15"/>
      <c r="Q676" s="15"/>
      <c r="R676" s="15"/>
      <c r="S676" s="15"/>
      <c r="T676" s="15"/>
      <c r="U676" s="16"/>
    </row>
    <row r="677">
      <c r="A677" s="41">
        <v>1.0</v>
      </c>
      <c r="B677" s="86">
        <v>278.0</v>
      </c>
      <c r="C677" s="87" t="s">
        <v>1810</v>
      </c>
      <c r="D677" s="88" t="s">
        <v>48</v>
      </c>
      <c r="E677" s="88" t="s">
        <v>32</v>
      </c>
      <c r="F677" s="89" t="s">
        <v>1811</v>
      </c>
      <c r="G677" s="89">
        <v>2007.0</v>
      </c>
      <c r="H677" s="89">
        <v>1.0</v>
      </c>
      <c r="I677" s="89">
        <v>1.0</v>
      </c>
      <c r="J677" s="265">
        <v>1.0</v>
      </c>
      <c r="K677" s="91" t="s">
        <v>1812</v>
      </c>
      <c r="L677" s="91" t="s">
        <v>1813</v>
      </c>
      <c r="M677" s="90" t="s">
        <v>1814</v>
      </c>
      <c r="N677" s="263" t="s">
        <v>119</v>
      </c>
      <c r="O677" s="92"/>
      <c r="P677" s="92"/>
      <c r="Q677" s="92"/>
      <c r="R677" s="92">
        <f>TDIST(2.6,250,1)</f>
        <v>0.004938568182</v>
      </c>
      <c r="S677" s="92">
        <f t="shared" ref="S677:S681" si="102">NORMINV(1-R677/2,0,1)</f>
        <v>2.81101371</v>
      </c>
      <c r="T677" s="92">
        <f t="shared" ref="T677:T681" si="103">NORMDIST(S677,1.96,1,TRUE)</f>
        <v>0.8026191314</v>
      </c>
      <c r="U677" s="93"/>
    </row>
    <row r="678">
      <c r="A678" s="41"/>
      <c r="B678" s="42">
        <v>278.0</v>
      </c>
      <c r="C678" s="43"/>
      <c r="D678" s="41"/>
      <c r="E678" s="41"/>
      <c r="F678" s="43"/>
      <c r="G678" s="43"/>
      <c r="H678" s="43">
        <v>1.0</v>
      </c>
      <c r="I678" s="43">
        <v>1.0</v>
      </c>
      <c r="J678" s="266">
        <v>2.0</v>
      </c>
      <c r="K678" s="45" t="s">
        <v>1815</v>
      </c>
      <c r="L678" s="45" t="s">
        <v>1816</v>
      </c>
      <c r="M678" s="44" t="s">
        <v>1817</v>
      </c>
      <c r="N678" s="47"/>
      <c r="O678" s="47"/>
      <c r="P678" s="47"/>
      <c r="Q678" s="47"/>
      <c r="R678" s="47">
        <f>TDIST(1.75,250,1)</f>
        <v>0.04067258354</v>
      </c>
      <c r="S678" s="47">
        <f t="shared" si="102"/>
        <v>2.046852352</v>
      </c>
      <c r="T678" s="47">
        <f t="shared" si="103"/>
        <v>0.5346055629</v>
      </c>
      <c r="U678" s="50"/>
    </row>
    <row r="679">
      <c r="A679" s="41"/>
      <c r="B679" s="42">
        <v>278.0</v>
      </c>
      <c r="C679" s="43"/>
      <c r="D679" s="41"/>
      <c r="E679" s="41"/>
      <c r="F679" s="43"/>
      <c r="G679" s="43"/>
      <c r="H679" s="43">
        <v>1.0</v>
      </c>
      <c r="I679" s="43">
        <v>1.0</v>
      </c>
      <c r="J679" s="266">
        <v>3.0</v>
      </c>
      <c r="K679" s="45" t="s">
        <v>1818</v>
      </c>
      <c r="L679" s="45" t="s">
        <v>1819</v>
      </c>
      <c r="M679" s="44" t="s">
        <v>1820</v>
      </c>
      <c r="N679" s="44" t="s">
        <v>424</v>
      </c>
      <c r="O679" s="47"/>
      <c r="P679" s="47"/>
      <c r="Q679" s="47"/>
      <c r="R679" s="47">
        <f>TDIST(4.73,250,1)</f>
        <v>0.000001878216195</v>
      </c>
      <c r="S679" s="47">
        <f t="shared" si="102"/>
        <v>4.766104775</v>
      </c>
      <c r="T679" s="47">
        <f t="shared" si="103"/>
        <v>0.9974927808</v>
      </c>
      <c r="U679" s="50"/>
    </row>
    <row r="680">
      <c r="A680" s="41"/>
      <c r="B680" s="42">
        <v>278.0</v>
      </c>
      <c r="C680" s="43"/>
      <c r="D680" s="41"/>
      <c r="E680" s="41"/>
      <c r="F680" s="43"/>
      <c r="G680" s="43"/>
      <c r="H680" s="43">
        <v>1.0</v>
      </c>
      <c r="I680" s="43">
        <v>1.0</v>
      </c>
      <c r="J680" s="43" t="s">
        <v>130</v>
      </c>
      <c r="K680" s="45" t="s">
        <v>1821</v>
      </c>
      <c r="L680" s="45" t="s">
        <v>1822</v>
      </c>
      <c r="M680" s="44" t="s">
        <v>1823</v>
      </c>
      <c r="N680" s="240" t="s">
        <v>119</v>
      </c>
      <c r="O680" s="47"/>
      <c r="P680" s="47"/>
      <c r="Q680" s="47"/>
      <c r="R680" s="47">
        <f>TDIST(2.78,249,1)</f>
        <v>0.002925447596</v>
      </c>
      <c r="S680" s="47">
        <f t="shared" si="102"/>
        <v>2.97546497</v>
      </c>
      <c r="T680" s="47">
        <f t="shared" si="103"/>
        <v>0.8450578817</v>
      </c>
      <c r="U680" s="50"/>
    </row>
    <row r="681">
      <c r="A681" s="41"/>
      <c r="B681" s="42">
        <v>278.0</v>
      </c>
      <c r="C681" s="43"/>
      <c r="D681" s="41"/>
      <c r="E681" s="41"/>
      <c r="F681" s="43"/>
      <c r="G681" s="43"/>
      <c r="H681" s="43">
        <v>1.0</v>
      </c>
      <c r="I681" s="43">
        <v>1.0</v>
      </c>
      <c r="J681" s="43" t="s">
        <v>134</v>
      </c>
      <c r="K681" s="45" t="s">
        <v>1824</v>
      </c>
      <c r="L681" s="45" t="s">
        <v>1825</v>
      </c>
      <c r="M681" s="44" t="s">
        <v>1826</v>
      </c>
      <c r="N681" s="44" t="s">
        <v>424</v>
      </c>
      <c r="O681" s="47"/>
      <c r="P681" s="47"/>
      <c r="Q681" s="47"/>
      <c r="R681" s="47">
        <f>TDIST(3.41,249,1)</f>
        <v>0.0003788591992</v>
      </c>
      <c r="S681" s="47">
        <f t="shared" si="102"/>
        <v>3.554388439</v>
      </c>
      <c r="T681" s="47">
        <f t="shared" si="103"/>
        <v>0.9445754699</v>
      </c>
      <c r="U681" s="50"/>
    </row>
    <row r="682">
      <c r="A682" s="22"/>
      <c r="B682" s="74">
        <v>278.0</v>
      </c>
      <c r="C682" s="62"/>
      <c r="D682" s="22"/>
      <c r="E682" s="22"/>
      <c r="F682" s="62"/>
      <c r="G682" s="62"/>
      <c r="H682" s="62"/>
      <c r="I682" s="62">
        <v>1.0</v>
      </c>
      <c r="J682" s="62" t="s">
        <v>835</v>
      </c>
      <c r="K682" s="64" t="s">
        <v>1827</v>
      </c>
      <c r="L682" s="64" t="s">
        <v>1828</v>
      </c>
      <c r="M682" s="66"/>
      <c r="N682" s="66"/>
      <c r="O682" s="66"/>
      <c r="P682" s="66"/>
      <c r="Q682" s="66"/>
      <c r="R682" s="66"/>
      <c r="S682" s="66"/>
      <c r="T682" s="66"/>
      <c r="U682" s="67"/>
    </row>
    <row r="683">
      <c r="A683" s="22"/>
      <c r="B683" s="104">
        <v>278.0</v>
      </c>
      <c r="C683" s="105"/>
      <c r="D683" s="106"/>
      <c r="E683" s="106"/>
      <c r="F683" s="105"/>
      <c r="G683" s="105"/>
      <c r="H683" s="105"/>
      <c r="I683" s="105">
        <v>1.0</v>
      </c>
      <c r="J683" s="105" t="s">
        <v>838</v>
      </c>
      <c r="K683" s="108" t="s">
        <v>1829</v>
      </c>
      <c r="L683" s="108" t="s">
        <v>1830</v>
      </c>
      <c r="M683" s="110"/>
      <c r="N683" s="110"/>
      <c r="O683" s="110"/>
      <c r="P683" s="110"/>
      <c r="Q683" s="110"/>
      <c r="R683" s="110"/>
      <c r="S683" s="110"/>
      <c r="T683" s="110"/>
      <c r="U683" s="111"/>
    </row>
    <row r="684">
      <c r="A684" s="7"/>
      <c r="B684" s="8">
        <v>279.0</v>
      </c>
      <c r="C684" s="14" t="s">
        <v>1831</v>
      </c>
      <c r="D684" s="7" t="s">
        <v>31</v>
      </c>
      <c r="E684" s="11"/>
      <c r="F684" s="8" t="s">
        <v>1832</v>
      </c>
      <c r="G684" s="8">
        <v>2009.0</v>
      </c>
      <c r="H684" s="8"/>
      <c r="I684" s="8"/>
      <c r="J684" s="8"/>
      <c r="K684" s="16"/>
      <c r="L684" s="13"/>
      <c r="M684" s="15"/>
      <c r="N684" s="15"/>
      <c r="O684" s="15"/>
      <c r="P684" s="15"/>
      <c r="Q684" s="15"/>
      <c r="R684" s="15"/>
      <c r="S684" s="15"/>
      <c r="T684" s="15"/>
      <c r="U684" s="16"/>
    </row>
    <row r="685">
      <c r="A685" s="7"/>
      <c r="B685" s="8">
        <v>280.0</v>
      </c>
      <c r="C685" s="14" t="s">
        <v>1833</v>
      </c>
      <c r="D685" s="7" t="s">
        <v>31</v>
      </c>
      <c r="E685" s="11"/>
      <c r="F685" s="8" t="s">
        <v>1834</v>
      </c>
      <c r="G685" s="8">
        <v>2012.0</v>
      </c>
      <c r="H685" s="8"/>
      <c r="I685" s="8"/>
      <c r="J685" s="8"/>
      <c r="K685" s="16"/>
      <c r="L685" s="13"/>
      <c r="M685" s="15"/>
      <c r="N685" s="15"/>
      <c r="O685" s="15"/>
      <c r="P685" s="15"/>
      <c r="Q685" s="15"/>
      <c r="R685" s="15"/>
      <c r="S685" s="15"/>
      <c r="T685" s="15"/>
      <c r="U685" s="16"/>
    </row>
    <row r="686">
      <c r="A686" s="7"/>
      <c r="B686" s="8">
        <v>281.0</v>
      </c>
      <c r="C686" s="14" t="s">
        <v>1835</v>
      </c>
      <c r="D686" s="7" t="s">
        <v>1836</v>
      </c>
      <c r="E686" s="11"/>
      <c r="F686" s="8" t="s">
        <v>1837</v>
      </c>
      <c r="G686" s="8">
        <v>2012.0</v>
      </c>
      <c r="H686" s="8"/>
      <c r="I686" s="8"/>
      <c r="J686" s="8"/>
      <c r="K686" s="16"/>
      <c r="L686" s="13"/>
      <c r="M686" s="15"/>
      <c r="N686" s="15"/>
      <c r="O686" s="15"/>
      <c r="P686" s="15"/>
      <c r="Q686" s="15"/>
      <c r="R686" s="15"/>
      <c r="S686" s="15"/>
      <c r="T686" s="15"/>
      <c r="U686" s="16"/>
    </row>
    <row r="687">
      <c r="A687" s="7"/>
      <c r="B687" s="8">
        <v>282.0</v>
      </c>
      <c r="C687" s="14" t="s">
        <v>1838</v>
      </c>
      <c r="D687" s="7" t="s">
        <v>307</v>
      </c>
      <c r="E687" s="11"/>
      <c r="F687" s="8" t="s">
        <v>322</v>
      </c>
      <c r="G687" s="8">
        <v>2011.0</v>
      </c>
      <c r="H687" s="8"/>
      <c r="I687" s="8"/>
      <c r="J687" s="8"/>
      <c r="K687" s="16"/>
      <c r="L687" s="13"/>
      <c r="M687" s="15"/>
      <c r="N687" s="15"/>
      <c r="O687" s="15"/>
      <c r="P687" s="15"/>
      <c r="Q687" s="15"/>
      <c r="R687" s="15"/>
      <c r="S687" s="15"/>
      <c r="T687" s="15"/>
      <c r="U687" s="16"/>
    </row>
    <row r="688">
      <c r="A688" s="7"/>
      <c r="B688" s="8">
        <v>283.0</v>
      </c>
      <c r="C688" s="14" t="s">
        <v>1839</v>
      </c>
      <c r="D688" s="7" t="s">
        <v>307</v>
      </c>
      <c r="E688" s="11"/>
      <c r="F688" s="8" t="s">
        <v>1840</v>
      </c>
      <c r="G688" s="8">
        <v>2010.0</v>
      </c>
      <c r="H688" s="8"/>
      <c r="I688" s="8"/>
      <c r="J688" s="8"/>
      <c r="K688" s="16"/>
      <c r="L688" s="13"/>
      <c r="M688" s="15"/>
      <c r="N688" s="15"/>
      <c r="O688" s="15"/>
      <c r="P688" s="15"/>
      <c r="Q688" s="15"/>
      <c r="R688" s="15"/>
      <c r="S688" s="15"/>
      <c r="T688" s="15"/>
      <c r="U688" s="16"/>
    </row>
    <row r="689">
      <c r="A689" s="7"/>
      <c r="B689" s="8">
        <v>284.0</v>
      </c>
      <c r="C689" s="14" t="s">
        <v>1841</v>
      </c>
      <c r="D689" s="7" t="s">
        <v>307</v>
      </c>
      <c r="E689" s="11"/>
      <c r="F689" s="8" t="s">
        <v>1842</v>
      </c>
      <c r="G689" s="8">
        <v>2001.0</v>
      </c>
      <c r="H689" s="8"/>
      <c r="I689" s="8"/>
      <c r="J689" s="8"/>
      <c r="K689" s="16"/>
      <c r="L689" s="13"/>
      <c r="M689" s="15"/>
      <c r="N689" s="15"/>
      <c r="O689" s="15"/>
      <c r="P689" s="15"/>
      <c r="Q689" s="15"/>
      <c r="R689" s="15"/>
      <c r="S689" s="15"/>
      <c r="T689" s="15"/>
      <c r="U689" s="16"/>
    </row>
    <row r="690">
      <c r="A690" s="7"/>
      <c r="B690" s="8">
        <v>285.0</v>
      </c>
      <c r="C690" s="14" t="s">
        <v>1843</v>
      </c>
      <c r="D690" s="7" t="s">
        <v>929</v>
      </c>
      <c r="E690" s="11"/>
      <c r="F690" s="8" t="s">
        <v>1844</v>
      </c>
      <c r="G690" s="12"/>
      <c r="H690" s="8"/>
      <c r="I690" s="8"/>
      <c r="J690" s="8"/>
      <c r="K690" s="16"/>
      <c r="L690" s="13"/>
      <c r="M690" s="15"/>
      <c r="N690" s="15"/>
      <c r="O690" s="15"/>
      <c r="P690" s="15"/>
      <c r="Q690" s="15"/>
      <c r="R690" s="15"/>
      <c r="S690" s="15"/>
      <c r="T690" s="15"/>
      <c r="U690" s="16"/>
    </row>
    <row r="691">
      <c r="A691" s="7"/>
      <c r="B691" s="8">
        <v>286.0</v>
      </c>
      <c r="C691" s="14" t="s">
        <v>1845</v>
      </c>
      <c r="D691" s="7" t="s">
        <v>307</v>
      </c>
      <c r="E691" s="7" t="s">
        <v>32</v>
      </c>
      <c r="F691" s="8" t="s">
        <v>1846</v>
      </c>
      <c r="G691" s="8">
        <v>2009.0</v>
      </c>
      <c r="H691" s="8"/>
      <c r="I691" s="8"/>
      <c r="J691" s="8"/>
      <c r="K691" s="16"/>
      <c r="L691" s="13"/>
      <c r="M691" s="15"/>
      <c r="N691" s="15"/>
      <c r="O691" s="15"/>
      <c r="P691" s="15"/>
      <c r="Q691" s="15"/>
      <c r="R691" s="15"/>
      <c r="S691" s="15"/>
      <c r="T691" s="15"/>
      <c r="U691" s="16"/>
    </row>
    <row r="692">
      <c r="A692" s="22"/>
      <c r="B692" s="24">
        <v>287.0</v>
      </c>
      <c r="C692" s="31" t="s">
        <v>1847</v>
      </c>
      <c r="D692" s="33" t="s">
        <v>48</v>
      </c>
      <c r="E692" s="33" t="s">
        <v>32</v>
      </c>
      <c r="F692" s="35" t="s">
        <v>1848</v>
      </c>
      <c r="G692" s="35">
        <v>2016.0</v>
      </c>
      <c r="H692" s="35"/>
      <c r="I692" s="35">
        <v>1.0</v>
      </c>
      <c r="J692" s="35">
        <v>1.0</v>
      </c>
      <c r="K692" s="37" t="s">
        <v>1849</v>
      </c>
      <c r="L692" s="38"/>
      <c r="M692" s="39"/>
      <c r="N692" s="39"/>
      <c r="O692" s="39"/>
      <c r="P692" s="39"/>
      <c r="Q692" s="39"/>
      <c r="R692" s="39"/>
      <c r="S692" s="39"/>
      <c r="T692" s="39"/>
      <c r="U692" s="40"/>
    </row>
    <row r="693">
      <c r="A693" s="22"/>
      <c r="B693" s="74">
        <v>287.0</v>
      </c>
      <c r="C693" s="62"/>
      <c r="D693" s="22"/>
      <c r="E693" s="22"/>
      <c r="F693" s="62"/>
      <c r="G693" s="62"/>
      <c r="H693" s="62"/>
      <c r="I693" s="62">
        <v>1.0</v>
      </c>
      <c r="J693" s="62">
        <v>2.0</v>
      </c>
      <c r="K693" s="64" t="s">
        <v>1850</v>
      </c>
      <c r="L693" s="65"/>
      <c r="M693" s="66"/>
      <c r="N693" s="66"/>
      <c r="O693" s="66"/>
      <c r="P693" s="66"/>
      <c r="Q693" s="66"/>
      <c r="R693" s="66"/>
      <c r="S693" s="66"/>
      <c r="T693" s="66"/>
      <c r="U693" s="67"/>
    </row>
    <row r="694">
      <c r="A694" s="22"/>
      <c r="B694" s="74">
        <v>287.0</v>
      </c>
      <c r="C694" s="62"/>
      <c r="D694" s="22"/>
      <c r="E694" s="22"/>
      <c r="F694" s="62"/>
      <c r="G694" s="62"/>
      <c r="H694" s="62"/>
      <c r="I694" s="62">
        <v>1.0</v>
      </c>
      <c r="J694" s="62">
        <v>3.0</v>
      </c>
      <c r="K694" s="64" t="s">
        <v>1851</v>
      </c>
      <c r="L694" s="65"/>
      <c r="M694" s="66"/>
      <c r="N694" s="66"/>
      <c r="O694" s="66"/>
      <c r="P694" s="66"/>
      <c r="Q694" s="66"/>
      <c r="R694" s="66"/>
      <c r="S694" s="66"/>
      <c r="T694" s="66"/>
      <c r="U694" s="67"/>
    </row>
    <row r="695">
      <c r="A695" s="22"/>
      <c r="B695" s="74">
        <v>287.0</v>
      </c>
      <c r="C695" s="62"/>
      <c r="D695" s="22"/>
      <c r="E695" s="22"/>
      <c r="F695" s="62"/>
      <c r="G695" s="62"/>
      <c r="H695" s="62"/>
      <c r="I695" s="62">
        <v>1.0</v>
      </c>
      <c r="J695" s="62">
        <v>4.0</v>
      </c>
      <c r="K695" s="64" t="s">
        <v>1852</v>
      </c>
      <c r="L695" s="65"/>
      <c r="M695" s="66"/>
      <c r="N695" s="66"/>
      <c r="O695" s="66"/>
      <c r="P695" s="66"/>
      <c r="Q695" s="66"/>
      <c r="R695" s="66"/>
      <c r="S695" s="66"/>
      <c r="T695" s="66"/>
      <c r="U695" s="67"/>
    </row>
    <row r="696">
      <c r="A696" s="41"/>
      <c r="B696" s="42">
        <v>287.0</v>
      </c>
      <c r="C696" s="43"/>
      <c r="D696" s="41"/>
      <c r="E696" s="41"/>
      <c r="F696" s="43"/>
      <c r="G696" s="43"/>
      <c r="H696" s="43"/>
      <c r="I696" s="43">
        <v>1.0</v>
      </c>
      <c r="J696" s="43" t="s">
        <v>835</v>
      </c>
      <c r="K696" s="45" t="s">
        <v>1853</v>
      </c>
      <c r="L696" s="45" t="s">
        <v>1854</v>
      </c>
      <c r="M696" s="47"/>
      <c r="N696" s="47"/>
      <c r="O696" s="47"/>
      <c r="P696" s="47"/>
      <c r="Q696" s="44" t="s">
        <v>1855</v>
      </c>
      <c r="R696" s="47"/>
      <c r="S696" s="47"/>
      <c r="T696" s="47"/>
      <c r="U696" s="50"/>
    </row>
    <row r="697">
      <c r="A697" s="41"/>
      <c r="B697" s="83">
        <v>287.0</v>
      </c>
      <c r="C697" s="75"/>
      <c r="D697" s="76"/>
      <c r="E697" s="76"/>
      <c r="F697" s="75"/>
      <c r="G697" s="75"/>
      <c r="H697" s="75"/>
      <c r="I697" s="75">
        <v>1.0</v>
      </c>
      <c r="J697" s="75" t="s">
        <v>838</v>
      </c>
      <c r="K697" s="78" t="s">
        <v>1856</v>
      </c>
      <c r="L697" s="78" t="s">
        <v>1857</v>
      </c>
      <c r="M697" s="80"/>
      <c r="N697" s="80"/>
      <c r="O697" s="80"/>
      <c r="P697" s="80"/>
      <c r="Q697" s="77" t="s">
        <v>1858</v>
      </c>
      <c r="R697" s="80"/>
      <c r="S697" s="80"/>
      <c r="T697" s="80"/>
      <c r="U697" s="81"/>
    </row>
    <row r="698">
      <c r="A698" s="7"/>
      <c r="B698" s="8">
        <v>288.0</v>
      </c>
      <c r="C698" s="14" t="s">
        <v>1859</v>
      </c>
      <c r="D698" s="7" t="s">
        <v>307</v>
      </c>
      <c r="E698" s="11"/>
      <c r="F698" s="8" t="s">
        <v>1860</v>
      </c>
      <c r="G698" s="8">
        <v>2008.0</v>
      </c>
      <c r="H698" s="8"/>
      <c r="I698" s="8"/>
      <c r="J698" s="8"/>
      <c r="K698" s="16"/>
      <c r="L698" s="13"/>
      <c r="M698" s="15"/>
      <c r="N698" s="15"/>
      <c r="O698" s="15"/>
      <c r="P698" s="15"/>
      <c r="Q698" s="15"/>
      <c r="R698" s="15"/>
      <c r="S698" s="15"/>
      <c r="T698" s="15"/>
      <c r="U698" s="16"/>
    </row>
    <row r="699">
      <c r="A699" s="7"/>
      <c r="B699" s="8">
        <v>289.0</v>
      </c>
      <c r="C699" s="14" t="s">
        <v>1861</v>
      </c>
      <c r="D699" s="7" t="s">
        <v>31</v>
      </c>
      <c r="E699" s="11"/>
      <c r="F699" s="8" t="s">
        <v>1862</v>
      </c>
      <c r="G699" s="8">
        <v>2007.0</v>
      </c>
      <c r="H699" s="8"/>
      <c r="I699" s="8"/>
      <c r="J699" s="8"/>
      <c r="K699" s="16"/>
      <c r="L699" s="13"/>
      <c r="M699" s="15"/>
      <c r="N699" s="15"/>
      <c r="O699" s="15"/>
      <c r="P699" s="15"/>
      <c r="Q699" s="15"/>
      <c r="R699" s="15"/>
      <c r="S699" s="15"/>
      <c r="T699" s="15"/>
      <c r="U699" s="16"/>
    </row>
    <row r="700">
      <c r="A700" s="7"/>
      <c r="B700" s="8">
        <v>290.0</v>
      </c>
      <c r="C700" s="14" t="s">
        <v>1863</v>
      </c>
      <c r="D700" s="7" t="s">
        <v>1864</v>
      </c>
      <c r="E700" s="11"/>
      <c r="F700" s="8" t="s">
        <v>1865</v>
      </c>
      <c r="G700" s="8">
        <v>2013.0</v>
      </c>
      <c r="H700" s="8"/>
      <c r="I700" s="8"/>
      <c r="J700" s="8"/>
      <c r="K700" s="16"/>
      <c r="L700" s="13"/>
      <c r="M700" s="15"/>
      <c r="N700" s="15"/>
      <c r="O700" s="15"/>
      <c r="P700" s="15"/>
      <c r="Q700" s="15"/>
      <c r="R700" s="15"/>
      <c r="S700" s="15"/>
      <c r="T700" s="15"/>
      <c r="U700" s="16"/>
    </row>
    <row r="701">
      <c r="A701" s="7"/>
      <c r="B701" s="8">
        <v>291.0</v>
      </c>
      <c r="C701" s="14" t="s">
        <v>1866</v>
      </c>
      <c r="D701" s="7" t="s">
        <v>31</v>
      </c>
      <c r="E701" s="11"/>
      <c r="F701" s="8" t="s">
        <v>1867</v>
      </c>
      <c r="G701" s="8">
        <v>2000.0</v>
      </c>
      <c r="H701" s="8"/>
      <c r="I701" s="8"/>
      <c r="J701" s="8"/>
      <c r="K701" s="16"/>
      <c r="L701" s="13"/>
      <c r="M701" s="15"/>
      <c r="N701" s="15"/>
      <c r="O701" s="15"/>
      <c r="P701" s="15"/>
      <c r="Q701" s="15"/>
      <c r="R701" s="15"/>
      <c r="S701" s="15"/>
      <c r="T701" s="15"/>
      <c r="U701" s="16"/>
    </row>
    <row r="702">
      <c r="A702" s="7"/>
      <c r="B702" s="8">
        <v>292.0</v>
      </c>
      <c r="C702" s="14" t="s">
        <v>1868</v>
      </c>
      <c r="D702" s="22" t="s">
        <v>1770</v>
      </c>
      <c r="E702" s="11"/>
      <c r="F702" s="12"/>
      <c r="G702" s="12"/>
      <c r="H702" s="8"/>
      <c r="I702" s="8"/>
      <c r="J702" s="8"/>
      <c r="K702" s="16"/>
      <c r="L702" s="13"/>
      <c r="M702" s="15"/>
      <c r="N702" s="15"/>
      <c r="O702" s="15"/>
      <c r="P702" s="15"/>
      <c r="Q702" s="15"/>
      <c r="R702" s="15"/>
      <c r="S702" s="15"/>
      <c r="T702" s="15"/>
      <c r="U702" s="16"/>
    </row>
    <row r="703">
      <c r="A703" s="7"/>
      <c r="B703" s="8">
        <v>293.0</v>
      </c>
      <c r="C703" s="14" t="s">
        <v>1869</v>
      </c>
      <c r="D703" s="7" t="s">
        <v>698</v>
      </c>
      <c r="E703" s="7" t="s">
        <v>32</v>
      </c>
      <c r="F703" s="8" t="s">
        <v>1870</v>
      </c>
      <c r="G703" s="8">
        <v>2000.0</v>
      </c>
      <c r="H703" s="8"/>
      <c r="I703" s="8"/>
      <c r="J703" s="8"/>
      <c r="K703" s="16"/>
      <c r="L703" s="13"/>
      <c r="M703" s="15"/>
      <c r="N703" s="15"/>
      <c r="O703" s="15"/>
      <c r="P703" s="15"/>
      <c r="Q703" s="15"/>
      <c r="R703" s="15"/>
      <c r="S703" s="15"/>
      <c r="T703" s="15"/>
      <c r="U703" s="16"/>
    </row>
    <row r="704">
      <c r="A704" s="7"/>
      <c r="B704" s="8">
        <v>294.0</v>
      </c>
      <c r="C704" s="14" t="s">
        <v>1871</v>
      </c>
      <c r="D704" s="7" t="s">
        <v>307</v>
      </c>
      <c r="E704" s="11"/>
      <c r="F704" s="8" t="s">
        <v>1872</v>
      </c>
      <c r="G704" s="8">
        <v>2009.0</v>
      </c>
      <c r="H704" s="8"/>
      <c r="I704" s="8"/>
      <c r="J704" s="8"/>
      <c r="K704" s="16"/>
      <c r="L704" s="13"/>
      <c r="M704" s="15"/>
      <c r="N704" s="15"/>
      <c r="O704" s="15"/>
      <c r="P704" s="15"/>
      <c r="Q704" s="15"/>
      <c r="R704" s="15"/>
      <c r="S704" s="15"/>
      <c r="T704" s="15"/>
      <c r="U704" s="16"/>
    </row>
    <row r="705">
      <c r="A705" s="7"/>
      <c r="B705" s="8">
        <v>295.0</v>
      </c>
      <c r="C705" s="14" t="s">
        <v>1873</v>
      </c>
      <c r="D705" s="7" t="s">
        <v>1154</v>
      </c>
      <c r="E705" s="7" t="s">
        <v>32</v>
      </c>
      <c r="F705" s="8" t="s">
        <v>1199</v>
      </c>
      <c r="G705" s="8">
        <v>2002.0</v>
      </c>
      <c r="H705" s="8"/>
      <c r="I705" s="8"/>
      <c r="J705" s="8"/>
      <c r="K705" s="16"/>
      <c r="L705" s="13"/>
      <c r="M705" s="15"/>
      <c r="N705" s="15"/>
      <c r="O705" s="15"/>
      <c r="P705" s="15"/>
      <c r="Q705" s="15"/>
      <c r="R705" s="15"/>
      <c r="S705" s="15"/>
      <c r="T705" s="15"/>
      <c r="U705" s="16"/>
    </row>
    <row r="706">
      <c r="A706" s="41">
        <v>1.0</v>
      </c>
      <c r="B706" s="86">
        <v>297.0</v>
      </c>
      <c r="C706" s="87" t="s">
        <v>1874</v>
      </c>
      <c r="D706" s="88" t="s">
        <v>48</v>
      </c>
      <c r="E706" s="88" t="s">
        <v>32</v>
      </c>
      <c r="F706" s="89" t="s">
        <v>1875</v>
      </c>
      <c r="G706" s="89">
        <v>2005.0</v>
      </c>
      <c r="H706" s="89">
        <v>1.0</v>
      </c>
      <c r="I706" s="89">
        <v>1.0</v>
      </c>
      <c r="J706" s="89">
        <v>1.0</v>
      </c>
      <c r="K706" s="91" t="s">
        <v>1876</v>
      </c>
      <c r="L706" s="91" t="s">
        <v>1877</v>
      </c>
      <c r="M706" s="90" t="s">
        <v>1878</v>
      </c>
      <c r="N706" s="90" t="s">
        <v>169</v>
      </c>
      <c r="O706" s="92"/>
      <c r="P706" s="90" t="s">
        <v>1879</v>
      </c>
      <c r="Q706" s="92"/>
      <c r="R706" s="92">
        <f>FDIST(4.8,2,129)</f>
        <v>0.009756812555</v>
      </c>
      <c r="S706" s="92">
        <f t="shared" ref="S706:S709" si="104">NORMINV(1-R706/2,0,1)</f>
        <v>2.58433094</v>
      </c>
      <c r="T706" s="92">
        <f t="shared" ref="T706:T709" si="105">NORMDIST(S706,1.96,1,TRUE)</f>
        <v>0.7337948655</v>
      </c>
      <c r="U706" s="93"/>
    </row>
    <row r="707">
      <c r="A707" s="41"/>
      <c r="B707" s="42">
        <v>297.0</v>
      </c>
      <c r="C707" s="43"/>
      <c r="D707" s="41"/>
      <c r="E707" s="94"/>
      <c r="F707" s="60"/>
      <c r="G707" s="60"/>
      <c r="H707" s="43">
        <v>1.0</v>
      </c>
      <c r="I707" s="43">
        <v>1.0</v>
      </c>
      <c r="J707" s="43">
        <v>2.0</v>
      </c>
      <c r="K707" s="45" t="s">
        <v>1880</v>
      </c>
      <c r="L707" s="45" t="s">
        <v>1881</v>
      </c>
      <c r="M707" s="44" t="s">
        <v>1882</v>
      </c>
      <c r="N707" s="44" t="s">
        <v>119</v>
      </c>
      <c r="O707" s="47"/>
      <c r="P707" s="44" t="s">
        <v>1883</v>
      </c>
      <c r="Q707" s="47"/>
      <c r="R707" s="47">
        <f>FDIST(5.22,2,129)</f>
        <v>0.006607705593</v>
      </c>
      <c r="S707" s="47">
        <f t="shared" si="104"/>
        <v>2.715994301</v>
      </c>
      <c r="T707" s="47">
        <f t="shared" si="105"/>
        <v>0.7751736938</v>
      </c>
      <c r="U707" s="50"/>
    </row>
    <row r="708">
      <c r="A708" s="41">
        <v>1.0</v>
      </c>
      <c r="B708" s="42">
        <v>297.0</v>
      </c>
      <c r="C708" s="43"/>
      <c r="D708" s="41"/>
      <c r="E708" s="94"/>
      <c r="F708" s="60"/>
      <c r="G708" s="60"/>
      <c r="H708" s="43">
        <v>2.0</v>
      </c>
      <c r="I708" s="43">
        <v>2.0</v>
      </c>
      <c r="J708" s="43">
        <v>1.0</v>
      </c>
      <c r="K708" s="45" t="s">
        <v>1876</v>
      </c>
      <c r="L708" s="45" t="s">
        <v>1884</v>
      </c>
      <c r="M708" s="44" t="s">
        <v>1885</v>
      </c>
      <c r="N708" s="44" t="s">
        <v>128</v>
      </c>
      <c r="O708" s="47"/>
      <c r="P708" s="44" t="s">
        <v>1886</v>
      </c>
      <c r="Q708" s="47"/>
      <c r="R708" s="47">
        <f>FDIST(8.17,2,93)</f>
        <v>0.0005385553858</v>
      </c>
      <c r="S708" s="47">
        <f t="shared" si="104"/>
        <v>3.460808688</v>
      </c>
      <c r="T708" s="47">
        <f t="shared" si="105"/>
        <v>0.9332974745</v>
      </c>
      <c r="U708" s="50"/>
    </row>
    <row r="709">
      <c r="A709" s="41"/>
      <c r="B709" s="83">
        <v>297.0</v>
      </c>
      <c r="C709" s="75"/>
      <c r="D709" s="76"/>
      <c r="E709" s="95"/>
      <c r="F709" s="267"/>
      <c r="G709" s="267"/>
      <c r="H709" s="75">
        <v>2.0</v>
      </c>
      <c r="I709" s="75">
        <v>2.0</v>
      </c>
      <c r="J709" s="75">
        <v>2.0</v>
      </c>
      <c r="K709" s="78" t="s">
        <v>1880</v>
      </c>
      <c r="L709" s="78" t="s">
        <v>1887</v>
      </c>
      <c r="M709" s="268" t="s">
        <v>1888</v>
      </c>
      <c r="N709" s="77" t="s">
        <v>275</v>
      </c>
      <c r="O709" s="80"/>
      <c r="P709" s="80"/>
      <c r="Q709" s="80"/>
      <c r="R709" s="80">
        <f>FDIST(2.73,2,93)</f>
        <v>0.07044901835</v>
      </c>
      <c r="S709" s="80">
        <f t="shared" si="104"/>
        <v>1.809012779</v>
      </c>
      <c r="T709" s="80">
        <f t="shared" si="105"/>
        <v>0.4399928981</v>
      </c>
      <c r="U709" s="81"/>
    </row>
    <row r="710">
      <c r="A710" s="269"/>
      <c r="B710" s="8">
        <v>298.0</v>
      </c>
      <c r="C710" s="14" t="s">
        <v>1889</v>
      </c>
      <c r="D710" s="7" t="s">
        <v>1890</v>
      </c>
      <c r="E710" s="11"/>
      <c r="F710" s="12"/>
      <c r="G710" s="12"/>
      <c r="H710" s="8"/>
      <c r="I710" s="8"/>
      <c r="J710" s="8"/>
      <c r="K710" s="16"/>
      <c r="L710" s="13"/>
      <c r="M710" s="15"/>
      <c r="N710" s="15"/>
      <c r="O710" s="15"/>
      <c r="P710" s="15"/>
      <c r="Q710" s="15"/>
      <c r="R710" s="15"/>
      <c r="S710" s="15"/>
      <c r="T710" s="15"/>
      <c r="U710" s="16"/>
    </row>
    <row r="711">
      <c r="A711" s="7"/>
      <c r="B711" s="8">
        <v>299.0</v>
      </c>
      <c r="C711" s="14" t="s">
        <v>1891</v>
      </c>
      <c r="D711" s="7" t="s">
        <v>1892</v>
      </c>
      <c r="E711" s="11"/>
      <c r="F711" s="12"/>
      <c r="G711" s="12"/>
      <c r="H711" s="8"/>
      <c r="I711" s="8"/>
      <c r="J711" s="8"/>
      <c r="K711" s="16"/>
      <c r="L711" s="13"/>
      <c r="M711" s="15"/>
      <c r="N711" s="15"/>
      <c r="O711" s="15"/>
      <c r="P711" s="15"/>
      <c r="Q711" s="15"/>
      <c r="R711" s="15"/>
      <c r="S711" s="15"/>
      <c r="T711" s="15"/>
      <c r="U711" s="16"/>
    </row>
    <row r="712">
      <c r="A712" s="7"/>
      <c r="B712" s="8">
        <v>300.0</v>
      </c>
      <c r="C712" s="14" t="s">
        <v>1893</v>
      </c>
      <c r="D712" s="22" t="s">
        <v>1770</v>
      </c>
      <c r="E712" s="11"/>
      <c r="F712" s="12"/>
      <c r="G712" s="12"/>
      <c r="H712" s="8"/>
      <c r="I712" s="8"/>
      <c r="J712" s="8"/>
      <c r="K712" s="16"/>
      <c r="L712" s="13"/>
      <c r="M712" s="15"/>
      <c r="N712" s="15"/>
      <c r="O712" s="15"/>
      <c r="P712" s="15"/>
      <c r="Q712" s="15"/>
      <c r="R712" s="15"/>
      <c r="S712" s="15"/>
      <c r="T712" s="15"/>
      <c r="U712" s="16"/>
    </row>
    <row r="713">
      <c r="A713" s="7"/>
      <c r="B713" s="8">
        <v>301.0</v>
      </c>
      <c r="C713" s="14" t="s">
        <v>1894</v>
      </c>
      <c r="D713" s="7" t="s">
        <v>1895</v>
      </c>
      <c r="E713" s="11"/>
      <c r="F713" s="12"/>
      <c r="G713" s="12"/>
      <c r="H713" s="8"/>
      <c r="I713" s="8"/>
      <c r="J713" s="8"/>
      <c r="K713" s="16"/>
      <c r="L713" s="13"/>
      <c r="M713" s="15"/>
      <c r="N713" s="15"/>
      <c r="O713" s="15"/>
      <c r="P713" s="15"/>
      <c r="Q713" s="15"/>
      <c r="R713" s="15"/>
      <c r="S713" s="15"/>
      <c r="T713" s="15"/>
      <c r="U713" s="16"/>
    </row>
    <row r="714">
      <c r="A714" s="7"/>
      <c r="B714" s="8">
        <v>302.0</v>
      </c>
      <c r="C714" s="14" t="s">
        <v>1896</v>
      </c>
      <c r="D714" s="22" t="s">
        <v>638</v>
      </c>
      <c r="E714" s="7" t="s">
        <v>1897</v>
      </c>
      <c r="F714" s="8" t="s">
        <v>1898</v>
      </c>
      <c r="G714" s="8">
        <v>2018.0</v>
      </c>
      <c r="H714" s="8"/>
      <c r="I714" s="8"/>
      <c r="J714" s="8"/>
      <c r="K714" s="16"/>
      <c r="L714" s="13"/>
      <c r="M714" s="15"/>
      <c r="N714" s="15"/>
      <c r="O714" s="15"/>
      <c r="P714" s="15"/>
      <c r="Q714" s="15"/>
      <c r="R714" s="15"/>
      <c r="S714" s="15"/>
      <c r="T714" s="15"/>
      <c r="U714" s="16"/>
    </row>
    <row r="715">
      <c r="A715" s="7"/>
      <c r="B715" s="8">
        <v>303.0</v>
      </c>
      <c r="C715" s="14" t="s">
        <v>1899</v>
      </c>
      <c r="D715" s="7" t="s">
        <v>307</v>
      </c>
      <c r="E715" s="7" t="s">
        <v>779</v>
      </c>
      <c r="F715" s="8" t="s">
        <v>1900</v>
      </c>
      <c r="G715" s="8">
        <v>2011.0</v>
      </c>
      <c r="H715" s="8"/>
      <c r="I715" s="8"/>
      <c r="J715" s="8"/>
      <c r="K715" s="16"/>
      <c r="L715" s="13"/>
      <c r="M715" s="15"/>
      <c r="N715" s="15"/>
      <c r="O715" s="15"/>
      <c r="P715" s="15"/>
      <c r="Q715" s="15"/>
      <c r="R715" s="15"/>
      <c r="S715" s="15"/>
      <c r="T715" s="15"/>
      <c r="U715" s="16"/>
    </row>
    <row r="716">
      <c r="A716" s="7"/>
      <c r="B716" s="8">
        <v>304.0</v>
      </c>
      <c r="C716" s="14" t="s">
        <v>1901</v>
      </c>
      <c r="D716" s="7" t="s">
        <v>45</v>
      </c>
      <c r="E716" s="7"/>
      <c r="F716" s="8" t="s">
        <v>1902</v>
      </c>
      <c r="G716" s="8">
        <v>2002.0</v>
      </c>
      <c r="H716" s="8"/>
      <c r="I716" s="8"/>
      <c r="J716" s="8"/>
      <c r="K716" s="16"/>
      <c r="L716" s="13"/>
      <c r="M716" s="15"/>
      <c r="N716" s="15"/>
      <c r="O716" s="15"/>
      <c r="P716" s="15"/>
      <c r="Q716" s="15"/>
      <c r="R716" s="15"/>
      <c r="S716" s="15"/>
      <c r="T716" s="15"/>
      <c r="U716" s="16"/>
    </row>
    <row r="717">
      <c r="A717" s="7"/>
      <c r="B717" s="8">
        <v>305.0</v>
      </c>
      <c r="C717" s="14" t="s">
        <v>1903</v>
      </c>
      <c r="D717" s="7" t="s">
        <v>1154</v>
      </c>
      <c r="E717" s="11"/>
      <c r="F717" s="8" t="s">
        <v>1904</v>
      </c>
      <c r="G717" s="8">
        <v>2006.0</v>
      </c>
      <c r="H717" s="8"/>
      <c r="I717" s="8"/>
      <c r="J717" s="8"/>
      <c r="K717" s="16"/>
      <c r="L717" s="13"/>
      <c r="M717" s="15"/>
      <c r="N717" s="15"/>
      <c r="O717" s="15"/>
      <c r="P717" s="15"/>
      <c r="Q717" s="15"/>
      <c r="R717" s="15"/>
      <c r="S717" s="15"/>
      <c r="T717" s="15"/>
      <c r="U717" s="16"/>
    </row>
    <row r="718">
      <c r="A718" s="270">
        <v>1.0</v>
      </c>
      <c r="B718" s="89">
        <v>306.0</v>
      </c>
      <c r="C718" s="87" t="s">
        <v>1905</v>
      </c>
      <c r="D718" s="88" t="s">
        <v>48</v>
      </c>
      <c r="E718" s="88" t="s">
        <v>32</v>
      </c>
      <c r="F718" s="89" t="s">
        <v>1906</v>
      </c>
      <c r="G718" s="89">
        <v>2015.0</v>
      </c>
      <c r="H718" s="89">
        <v>1.0</v>
      </c>
      <c r="I718" s="89">
        <v>1.0</v>
      </c>
      <c r="J718" s="89">
        <v>1.0</v>
      </c>
      <c r="K718" s="91" t="s">
        <v>1907</v>
      </c>
      <c r="L718" s="91" t="s">
        <v>1908</v>
      </c>
      <c r="M718" s="90" t="s">
        <v>1909</v>
      </c>
      <c r="N718" s="90" t="s">
        <v>1910</v>
      </c>
      <c r="O718" s="92"/>
      <c r="P718" s="92"/>
      <c r="Q718" s="92"/>
      <c r="R718" s="92">
        <f>TDIST(0.45,80,2)</f>
        <v>0.6539274714</v>
      </c>
      <c r="S718" s="92">
        <f t="shared" ref="S718:S723" si="106">NORMINV(1-R718/2,0,1)</f>
        <v>0.4483127901</v>
      </c>
      <c r="T718" s="92">
        <f t="shared" ref="T718:T723" si="107">NORMDIST(S718,1.96,1,TRUE)</f>
        <v>0.06530672694</v>
      </c>
      <c r="U718" s="93"/>
    </row>
    <row r="719">
      <c r="A719" s="271"/>
      <c r="B719" s="43">
        <v>306.0</v>
      </c>
      <c r="C719" s="43"/>
      <c r="D719" s="41"/>
      <c r="E719" s="41"/>
      <c r="F719" s="43"/>
      <c r="G719" s="43"/>
      <c r="H719" s="43">
        <v>1.0</v>
      </c>
      <c r="I719" s="43">
        <v>1.0</v>
      </c>
      <c r="J719" s="43">
        <v>2.0</v>
      </c>
      <c r="K719" s="45" t="s">
        <v>1911</v>
      </c>
      <c r="L719" s="45" t="s">
        <v>1912</v>
      </c>
      <c r="M719" s="272" t="s">
        <v>1913</v>
      </c>
      <c r="N719" s="44" t="s">
        <v>1914</v>
      </c>
      <c r="O719" s="47"/>
      <c r="P719" s="47"/>
      <c r="Q719" s="47"/>
      <c r="R719" s="47">
        <f>TDIST(1.64,80,2)</f>
        <v>0.1049317302</v>
      </c>
      <c r="S719" s="47">
        <f t="shared" si="106"/>
        <v>1.621400701</v>
      </c>
      <c r="T719" s="47">
        <f t="shared" si="107"/>
        <v>0.3674558052</v>
      </c>
      <c r="U719" s="50"/>
    </row>
    <row r="720">
      <c r="A720" s="271"/>
      <c r="B720" s="43">
        <v>306.0</v>
      </c>
      <c r="C720" s="43"/>
      <c r="D720" s="41"/>
      <c r="E720" s="41"/>
      <c r="F720" s="43"/>
      <c r="G720" s="43"/>
      <c r="H720" s="43">
        <v>1.0</v>
      </c>
      <c r="I720" s="43">
        <v>1.0</v>
      </c>
      <c r="J720" s="43" t="s">
        <v>53</v>
      </c>
      <c r="K720" s="45" t="s">
        <v>1915</v>
      </c>
      <c r="L720" s="45" t="s">
        <v>1916</v>
      </c>
      <c r="M720" s="44" t="s">
        <v>1917</v>
      </c>
      <c r="N720" s="44" t="s">
        <v>411</v>
      </c>
      <c r="O720" s="47"/>
      <c r="P720" s="47"/>
      <c r="Q720" s="47"/>
      <c r="R720" s="47">
        <f>TDIST(2.25,80,2)</f>
        <v>0.02719568039</v>
      </c>
      <c r="S720" s="47">
        <f t="shared" si="106"/>
        <v>2.208697614</v>
      </c>
      <c r="T720" s="47">
        <f t="shared" si="107"/>
        <v>0.5982026527</v>
      </c>
      <c r="U720" s="50"/>
    </row>
    <row r="721">
      <c r="A721" s="271"/>
      <c r="B721" s="43">
        <v>306.0</v>
      </c>
      <c r="C721" s="43"/>
      <c r="D721" s="41"/>
      <c r="E721" s="41"/>
      <c r="F721" s="43"/>
      <c r="G721" s="43"/>
      <c r="H721" s="43">
        <v>1.0</v>
      </c>
      <c r="I721" s="43">
        <v>1.0</v>
      </c>
      <c r="J721" s="43" t="s">
        <v>65</v>
      </c>
      <c r="K721" s="45" t="s">
        <v>1918</v>
      </c>
      <c r="L721" s="273" t="s">
        <v>1919</v>
      </c>
      <c r="M721" s="44" t="s">
        <v>1920</v>
      </c>
      <c r="N721" s="44" t="s">
        <v>169</v>
      </c>
      <c r="O721" s="47"/>
      <c r="P721" s="47"/>
      <c r="Q721" s="47"/>
      <c r="R721" s="47">
        <f>TDIST(2.01,80,2)</f>
        <v>0.04780183209</v>
      </c>
      <c r="S721" s="47">
        <f t="shared" si="106"/>
        <v>1.979125911</v>
      </c>
      <c r="T721" s="47">
        <f t="shared" si="107"/>
        <v>0.5076296692</v>
      </c>
      <c r="U721" s="50"/>
    </row>
    <row r="722">
      <c r="A722" s="271"/>
      <c r="B722" s="43">
        <v>306.0</v>
      </c>
      <c r="C722" s="43"/>
      <c r="D722" s="41"/>
      <c r="E722" s="41"/>
      <c r="F722" s="43"/>
      <c r="G722" s="43"/>
      <c r="H722" s="43">
        <v>1.0</v>
      </c>
      <c r="I722" s="43">
        <v>1.0</v>
      </c>
      <c r="J722" s="43" t="s">
        <v>130</v>
      </c>
      <c r="K722" s="45" t="s">
        <v>1921</v>
      </c>
      <c r="L722" s="43" t="s">
        <v>1922</v>
      </c>
      <c r="M722" s="46" t="s">
        <v>1923</v>
      </c>
      <c r="N722" s="44" t="s">
        <v>1924</v>
      </c>
      <c r="O722" s="47"/>
      <c r="P722" s="47"/>
      <c r="Q722" s="47"/>
      <c r="R722" s="47">
        <f>TDIST(1.32,80,2)</f>
        <v>0.190599644</v>
      </c>
      <c r="S722" s="47">
        <f t="shared" si="106"/>
        <v>1.308807268</v>
      </c>
      <c r="T722" s="47">
        <f t="shared" si="107"/>
        <v>0.2574610407</v>
      </c>
      <c r="U722" s="50"/>
    </row>
    <row r="723">
      <c r="A723" s="271"/>
      <c r="B723" s="43">
        <v>306.0</v>
      </c>
      <c r="C723" s="43"/>
      <c r="D723" s="41"/>
      <c r="E723" s="41"/>
      <c r="F723" s="43"/>
      <c r="G723" s="43"/>
      <c r="H723" s="43">
        <v>1.0</v>
      </c>
      <c r="I723" s="43">
        <v>1.0</v>
      </c>
      <c r="J723" s="43" t="s">
        <v>134</v>
      </c>
      <c r="K723" s="45" t="s">
        <v>1925</v>
      </c>
      <c r="L723" s="45" t="s">
        <v>1926</v>
      </c>
      <c r="M723" s="44" t="s">
        <v>1927</v>
      </c>
      <c r="N723" s="46" t="s">
        <v>169</v>
      </c>
      <c r="O723" s="47"/>
      <c r="P723" s="47"/>
      <c r="Q723" s="47"/>
      <c r="R723" s="47">
        <f>TDIST(1.95,80,2)</f>
        <v>0.05467922665</v>
      </c>
      <c r="S723" s="47">
        <f t="shared" si="106"/>
        <v>1.921416447</v>
      </c>
      <c r="T723" s="47">
        <f t="shared" si="107"/>
        <v>0.4846112078</v>
      </c>
      <c r="U723" s="50"/>
    </row>
    <row r="724">
      <c r="A724" s="274"/>
      <c r="B724" s="62">
        <v>306.0</v>
      </c>
      <c r="C724" s="62"/>
      <c r="D724" s="22"/>
      <c r="E724" s="22"/>
      <c r="F724" s="62"/>
      <c r="G724" s="62"/>
      <c r="H724" s="62"/>
      <c r="I724" s="62">
        <v>1.0</v>
      </c>
      <c r="J724" s="62" t="s">
        <v>835</v>
      </c>
      <c r="K724" s="64" t="s">
        <v>1928</v>
      </c>
      <c r="L724" s="64" t="s">
        <v>1929</v>
      </c>
      <c r="M724" s="66"/>
      <c r="N724" s="66"/>
      <c r="O724" s="66"/>
      <c r="P724" s="66"/>
      <c r="Q724" s="66"/>
      <c r="R724" s="66"/>
      <c r="S724" s="66"/>
      <c r="T724" s="66"/>
      <c r="U724" s="67"/>
    </row>
    <row r="725">
      <c r="A725" s="271"/>
      <c r="B725" s="43">
        <v>306.0</v>
      </c>
      <c r="C725" s="43"/>
      <c r="D725" s="41"/>
      <c r="E725" s="41"/>
      <c r="F725" s="43"/>
      <c r="G725" s="43"/>
      <c r="H725" s="43"/>
      <c r="I725" s="43">
        <v>1.0</v>
      </c>
      <c r="J725" s="43" t="s">
        <v>838</v>
      </c>
      <c r="K725" s="45" t="s">
        <v>1930</v>
      </c>
      <c r="L725" s="45" t="s">
        <v>1931</v>
      </c>
      <c r="M725" s="47"/>
      <c r="N725" s="47"/>
      <c r="O725" s="47"/>
      <c r="P725" s="47"/>
      <c r="Q725" s="44" t="s">
        <v>1932</v>
      </c>
      <c r="R725" s="47"/>
      <c r="S725" s="47"/>
      <c r="T725" s="47"/>
      <c r="U725" s="50"/>
    </row>
    <row r="726">
      <c r="A726" s="274"/>
      <c r="B726" s="62">
        <v>306.0</v>
      </c>
      <c r="C726" s="62"/>
      <c r="D726" s="22"/>
      <c r="E726" s="22"/>
      <c r="F726" s="62"/>
      <c r="G726" s="62"/>
      <c r="H726" s="62"/>
      <c r="I726" s="62">
        <v>1.0</v>
      </c>
      <c r="J726" s="62" t="s">
        <v>654</v>
      </c>
      <c r="K726" s="64" t="s">
        <v>1933</v>
      </c>
      <c r="L726" s="64" t="s">
        <v>1934</v>
      </c>
      <c r="M726" s="66"/>
      <c r="N726" s="66"/>
      <c r="O726" s="66"/>
      <c r="P726" s="66"/>
      <c r="Q726" s="66"/>
      <c r="R726" s="66"/>
      <c r="S726" s="66"/>
      <c r="T726" s="66"/>
      <c r="U726" s="67"/>
    </row>
    <row r="727">
      <c r="A727" s="275"/>
      <c r="B727" s="75">
        <v>306.0</v>
      </c>
      <c r="C727" s="75"/>
      <c r="D727" s="76"/>
      <c r="E727" s="76"/>
      <c r="F727" s="75"/>
      <c r="G727" s="75"/>
      <c r="H727" s="75"/>
      <c r="I727" s="75">
        <v>1.0</v>
      </c>
      <c r="J727" s="75" t="s">
        <v>658</v>
      </c>
      <c r="K727" s="78" t="s">
        <v>1930</v>
      </c>
      <c r="L727" s="78" t="s">
        <v>1935</v>
      </c>
      <c r="M727" s="80"/>
      <c r="N727" s="80"/>
      <c r="O727" s="80"/>
      <c r="P727" s="80"/>
      <c r="Q727" s="77" t="s">
        <v>1936</v>
      </c>
      <c r="R727" s="80"/>
      <c r="S727" s="80"/>
      <c r="T727" s="80"/>
      <c r="U727" s="81"/>
    </row>
    <row r="728">
      <c r="A728" s="7"/>
      <c r="B728" s="8">
        <v>307.0</v>
      </c>
      <c r="C728" s="14" t="s">
        <v>1937</v>
      </c>
      <c r="D728" s="7" t="s">
        <v>48</v>
      </c>
      <c r="E728" s="22" t="s">
        <v>768</v>
      </c>
      <c r="F728" s="8" t="s">
        <v>1938</v>
      </c>
      <c r="G728" s="8">
        <v>2018.0</v>
      </c>
      <c r="H728" s="8"/>
      <c r="I728" s="8"/>
      <c r="J728" s="8"/>
      <c r="K728" s="16"/>
      <c r="L728" s="13"/>
      <c r="M728" s="15"/>
      <c r="N728" s="15"/>
      <c r="O728" s="15"/>
      <c r="P728" s="15"/>
      <c r="Q728" s="15"/>
      <c r="R728" s="15"/>
      <c r="S728" s="15"/>
      <c r="T728" s="15"/>
      <c r="U728" s="16"/>
    </row>
    <row r="729">
      <c r="A729" s="7"/>
      <c r="B729" s="8">
        <v>308.0</v>
      </c>
      <c r="C729" s="14" t="s">
        <v>1939</v>
      </c>
      <c r="D729" s="7" t="s">
        <v>1940</v>
      </c>
      <c r="E729" s="11"/>
      <c r="F729" s="8" t="s">
        <v>1941</v>
      </c>
      <c r="G729" s="8">
        <v>2001.0</v>
      </c>
      <c r="H729" s="8"/>
      <c r="I729" s="8"/>
      <c r="J729" s="8"/>
      <c r="K729" s="16"/>
      <c r="L729" s="13"/>
      <c r="M729" s="15"/>
      <c r="N729" s="15"/>
      <c r="O729" s="15"/>
      <c r="P729" s="15"/>
      <c r="Q729" s="15"/>
      <c r="R729" s="15"/>
      <c r="S729" s="15"/>
      <c r="T729" s="15"/>
      <c r="U729" s="16"/>
    </row>
    <row r="730">
      <c r="A730" s="7"/>
      <c r="B730" s="8">
        <v>309.0</v>
      </c>
      <c r="C730" s="14" t="s">
        <v>1942</v>
      </c>
      <c r="D730" s="7" t="s">
        <v>929</v>
      </c>
      <c r="E730" s="7"/>
      <c r="F730" s="8" t="s">
        <v>1741</v>
      </c>
      <c r="G730" s="8">
        <v>2017.0</v>
      </c>
      <c r="H730" s="8"/>
      <c r="I730" s="8"/>
      <c r="J730" s="8"/>
      <c r="K730" s="16"/>
      <c r="L730" s="13"/>
      <c r="M730" s="15"/>
      <c r="N730" s="15"/>
      <c r="O730" s="15"/>
      <c r="P730" s="15"/>
      <c r="Q730" s="15"/>
      <c r="R730" s="15"/>
      <c r="S730" s="15"/>
      <c r="T730" s="15"/>
      <c r="U730" s="16"/>
    </row>
    <row r="731">
      <c r="A731" s="7"/>
      <c r="B731" s="8">
        <v>310.0</v>
      </c>
      <c r="C731" s="14" t="s">
        <v>1943</v>
      </c>
      <c r="D731" s="7" t="s">
        <v>149</v>
      </c>
      <c r="E731" s="11"/>
      <c r="F731" s="8" t="s">
        <v>979</v>
      </c>
      <c r="G731" s="8">
        <v>2002.0</v>
      </c>
      <c r="H731" s="8"/>
      <c r="I731" s="8"/>
      <c r="J731" s="8"/>
      <c r="K731" s="16"/>
      <c r="L731" s="13"/>
      <c r="M731" s="15"/>
      <c r="N731" s="15"/>
      <c r="O731" s="15"/>
      <c r="P731" s="15"/>
      <c r="Q731" s="15"/>
      <c r="R731" s="15"/>
      <c r="S731" s="15"/>
      <c r="T731" s="15"/>
      <c r="U731" s="16"/>
    </row>
    <row r="732">
      <c r="A732" s="7"/>
      <c r="B732" s="8">
        <v>311.0</v>
      </c>
      <c r="C732" s="14" t="s">
        <v>1944</v>
      </c>
      <c r="D732" s="7" t="s">
        <v>1945</v>
      </c>
      <c r="E732" s="11"/>
      <c r="F732" s="8" t="s">
        <v>1946</v>
      </c>
      <c r="G732" s="8">
        <v>2005.0</v>
      </c>
      <c r="H732" s="8"/>
      <c r="I732" s="8"/>
      <c r="J732" s="8"/>
      <c r="K732" s="16"/>
      <c r="L732" s="13"/>
      <c r="M732" s="15"/>
      <c r="N732" s="15"/>
      <c r="O732" s="15"/>
      <c r="P732" s="15"/>
      <c r="Q732" s="15"/>
      <c r="R732" s="15"/>
      <c r="S732" s="15"/>
      <c r="T732" s="15"/>
      <c r="U732" s="16"/>
    </row>
    <row r="733">
      <c r="A733" s="270">
        <v>1.0</v>
      </c>
      <c r="B733" s="89">
        <v>312.0</v>
      </c>
      <c r="C733" s="87" t="s">
        <v>1947</v>
      </c>
      <c r="D733" s="88" t="s">
        <v>48</v>
      </c>
      <c r="E733" s="219"/>
      <c r="F733" s="89" t="s">
        <v>1948</v>
      </c>
      <c r="G733" s="89">
        <v>2016.0</v>
      </c>
      <c r="H733" s="89">
        <v>1.0</v>
      </c>
      <c r="I733" s="89">
        <v>1.0</v>
      </c>
      <c r="J733" s="89">
        <v>1.0</v>
      </c>
      <c r="K733" s="91" t="s">
        <v>1949</v>
      </c>
      <c r="L733" s="91" t="s">
        <v>1950</v>
      </c>
      <c r="M733" s="90" t="s">
        <v>1951</v>
      </c>
      <c r="N733" s="90" t="s">
        <v>128</v>
      </c>
      <c r="O733" s="92"/>
      <c r="P733" s="90" t="s">
        <v>1952</v>
      </c>
      <c r="Q733" s="92"/>
      <c r="R733" s="92">
        <f>TDIST(4.57,65,2)</f>
        <v>0.00002238476309</v>
      </c>
      <c r="S733" s="92">
        <f t="shared" ref="S733:S734" si="108">NORMINV(1-R733/2,0,1)</f>
        <v>4.23967099</v>
      </c>
      <c r="T733" s="92">
        <f t="shared" ref="T733:T734" si="109">NORMDIST(S733,1.96,1,TRUE)</f>
        <v>0.9886863954</v>
      </c>
      <c r="U733" s="93"/>
    </row>
    <row r="734">
      <c r="A734" s="271">
        <v>1.0</v>
      </c>
      <c r="B734" s="43">
        <v>312.0</v>
      </c>
      <c r="C734" s="43"/>
      <c r="D734" s="41"/>
      <c r="E734" s="94"/>
      <c r="F734" s="43"/>
      <c r="G734" s="43"/>
      <c r="H734" s="43">
        <v>2.0</v>
      </c>
      <c r="I734" s="43">
        <v>2.0</v>
      </c>
      <c r="J734" s="46" t="s">
        <v>642</v>
      </c>
      <c r="K734" s="45" t="s">
        <v>1953</v>
      </c>
      <c r="L734" s="45" t="s">
        <v>1954</v>
      </c>
      <c r="M734" s="44" t="s">
        <v>1955</v>
      </c>
      <c r="N734" s="44" t="s">
        <v>128</v>
      </c>
      <c r="O734" s="47"/>
      <c r="P734" s="44" t="s">
        <v>1956</v>
      </c>
      <c r="Q734" s="47"/>
      <c r="R734" s="47">
        <f>FDIST(30.89,1,119)</f>
        <v>0.0000001697927366</v>
      </c>
      <c r="S734" s="47">
        <f t="shared" si="108"/>
        <v>5.229691943</v>
      </c>
      <c r="T734" s="47">
        <f t="shared" si="109"/>
        <v>0.9994616767</v>
      </c>
      <c r="U734" s="50"/>
    </row>
    <row r="735">
      <c r="A735" s="274"/>
      <c r="B735" s="62"/>
      <c r="C735" s="62"/>
      <c r="D735" s="22"/>
      <c r="E735" s="127"/>
      <c r="F735" s="62"/>
      <c r="G735" s="62"/>
      <c r="H735" s="62"/>
      <c r="I735" s="62">
        <v>2.0</v>
      </c>
      <c r="J735" s="276" t="s">
        <v>644</v>
      </c>
      <c r="K735" s="64" t="s">
        <v>1957</v>
      </c>
      <c r="L735" s="64" t="s">
        <v>724</v>
      </c>
      <c r="M735" s="66"/>
      <c r="N735" s="66"/>
      <c r="O735" s="66"/>
      <c r="P735" s="66"/>
      <c r="Q735" s="66"/>
      <c r="R735" s="66"/>
      <c r="S735" s="66"/>
      <c r="T735" s="66"/>
      <c r="U735" s="67"/>
    </row>
    <row r="736">
      <c r="A736" s="277"/>
      <c r="B736" s="105"/>
      <c r="C736" s="105"/>
      <c r="D736" s="106"/>
      <c r="E736" s="129"/>
      <c r="F736" s="105"/>
      <c r="G736" s="105"/>
      <c r="H736" s="105"/>
      <c r="I736" s="105">
        <v>2.0</v>
      </c>
      <c r="J736" s="278" t="s">
        <v>1032</v>
      </c>
      <c r="K736" s="108" t="s">
        <v>1958</v>
      </c>
      <c r="L736" s="108" t="s">
        <v>724</v>
      </c>
      <c r="M736" s="110"/>
      <c r="N736" s="110"/>
      <c r="O736" s="110"/>
      <c r="P736" s="110"/>
      <c r="Q736" s="110"/>
      <c r="R736" s="110"/>
      <c r="S736" s="110"/>
      <c r="T736" s="110"/>
      <c r="U736" s="111"/>
    </row>
    <row r="737">
      <c r="A737" s="7"/>
      <c r="B737" s="8">
        <v>313.0</v>
      </c>
      <c r="C737" s="14" t="s">
        <v>1959</v>
      </c>
      <c r="D737" s="7" t="s">
        <v>307</v>
      </c>
      <c r="E737" s="11"/>
      <c r="F737" s="8" t="s">
        <v>1008</v>
      </c>
      <c r="G737" s="8">
        <v>2014.0</v>
      </c>
      <c r="H737" s="8"/>
      <c r="I737" s="8"/>
      <c r="J737" s="8"/>
      <c r="K737" s="16"/>
      <c r="L737" s="13"/>
      <c r="M737" s="15"/>
      <c r="N737" s="15"/>
      <c r="O737" s="15"/>
      <c r="P737" s="15"/>
      <c r="Q737" s="15"/>
      <c r="R737" s="15"/>
      <c r="S737" s="15"/>
      <c r="T737" s="15"/>
      <c r="U737" s="16"/>
    </row>
    <row r="738">
      <c r="A738" s="7"/>
      <c r="B738" s="8">
        <v>314.0</v>
      </c>
      <c r="C738" s="14" t="s">
        <v>1960</v>
      </c>
      <c r="D738" s="7" t="s">
        <v>929</v>
      </c>
      <c r="E738" s="11"/>
      <c r="F738" s="12"/>
      <c r="G738" s="12"/>
      <c r="H738" s="8"/>
      <c r="I738" s="8"/>
      <c r="J738" s="8"/>
      <c r="K738" s="16"/>
      <c r="L738" s="13"/>
      <c r="M738" s="15"/>
      <c r="N738" s="15"/>
      <c r="O738" s="15"/>
      <c r="P738" s="15"/>
      <c r="Q738" s="15"/>
      <c r="R738" s="15"/>
      <c r="S738" s="15"/>
      <c r="T738" s="15"/>
      <c r="U738" s="16"/>
    </row>
    <row r="739">
      <c r="A739" s="7"/>
      <c r="B739" s="8">
        <v>315.0</v>
      </c>
      <c r="C739" s="14" t="s">
        <v>1961</v>
      </c>
      <c r="D739" s="22" t="s">
        <v>48</v>
      </c>
      <c r="E739" s="22" t="s">
        <v>1962</v>
      </c>
      <c r="F739" s="62" t="s">
        <v>1963</v>
      </c>
      <c r="G739" s="62">
        <v>2003.0</v>
      </c>
      <c r="H739" s="8"/>
      <c r="I739" s="8"/>
      <c r="J739" s="8"/>
      <c r="K739" s="16"/>
      <c r="L739" s="13"/>
      <c r="M739" s="15"/>
      <c r="N739" s="15"/>
      <c r="O739" s="15"/>
      <c r="P739" s="15"/>
      <c r="Q739" s="15"/>
      <c r="R739" s="15"/>
      <c r="S739" s="15"/>
      <c r="T739" s="15"/>
      <c r="U739" s="16"/>
    </row>
    <row r="740">
      <c r="A740" s="279"/>
      <c r="B740" s="35">
        <v>316.0</v>
      </c>
      <c r="C740" s="31" t="s">
        <v>1964</v>
      </c>
      <c r="D740" s="33" t="s">
        <v>48</v>
      </c>
      <c r="E740" s="280"/>
      <c r="F740" s="35" t="s">
        <v>1965</v>
      </c>
      <c r="G740" s="35">
        <v>2007.0</v>
      </c>
      <c r="H740" s="35"/>
      <c r="I740" s="35"/>
      <c r="J740" s="35">
        <v>1.0</v>
      </c>
      <c r="K740" s="37" t="s">
        <v>1966</v>
      </c>
      <c r="L740" s="37" t="s">
        <v>1967</v>
      </c>
      <c r="M740" s="39"/>
      <c r="N740" s="39"/>
      <c r="O740" s="39"/>
      <c r="P740" s="39"/>
      <c r="Q740" s="39"/>
      <c r="R740" s="39"/>
      <c r="S740" s="39"/>
      <c r="T740" s="39"/>
      <c r="U740" s="40"/>
    </row>
    <row r="741">
      <c r="A741" s="274"/>
      <c r="B741" s="62">
        <v>316.0</v>
      </c>
      <c r="C741" s="62"/>
      <c r="D741" s="22"/>
      <c r="E741" s="127"/>
      <c r="F741" s="62"/>
      <c r="G741" s="62"/>
      <c r="H741" s="62"/>
      <c r="I741" s="62"/>
      <c r="J741" s="62">
        <v>2.0</v>
      </c>
      <c r="K741" s="64" t="s">
        <v>1968</v>
      </c>
      <c r="L741" s="64" t="s">
        <v>1969</v>
      </c>
      <c r="M741" s="66"/>
      <c r="N741" s="66"/>
      <c r="O741" s="66"/>
      <c r="P741" s="66"/>
      <c r="Q741" s="66"/>
      <c r="R741" s="66"/>
      <c r="S741" s="66"/>
      <c r="T741" s="66"/>
      <c r="U741" s="67"/>
    </row>
    <row r="742">
      <c r="A742" s="271">
        <v>1.0</v>
      </c>
      <c r="B742" s="43">
        <v>316.0</v>
      </c>
      <c r="C742" s="43"/>
      <c r="D742" s="41"/>
      <c r="E742" s="94"/>
      <c r="F742" s="43"/>
      <c r="G742" s="43"/>
      <c r="H742" s="43">
        <v>1.0</v>
      </c>
      <c r="I742" s="43">
        <v>1.0</v>
      </c>
      <c r="J742" s="43">
        <v>3.0</v>
      </c>
      <c r="K742" s="45" t="s">
        <v>1970</v>
      </c>
      <c r="L742" s="45" t="s">
        <v>1971</v>
      </c>
      <c r="M742" s="44" t="s">
        <v>1972</v>
      </c>
      <c r="N742" s="44" t="s">
        <v>119</v>
      </c>
      <c r="O742" s="47"/>
      <c r="P742" s="47"/>
      <c r="Q742" s="47"/>
      <c r="R742" s="47">
        <f>FDIST(7.68,1,58)</f>
        <v>0.007491706378</v>
      </c>
      <c r="S742" s="47">
        <f t="shared" ref="S742:S744" si="110">NORMINV(1-R742/2,0,1)</f>
        <v>2.674158371</v>
      </c>
      <c r="T742" s="47">
        <f t="shared" ref="T742:T744" si="111">NORMDIST(S742,1.96,1,TRUE)</f>
        <v>0.7624353723</v>
      </c>
      <c r="U742" s="50"/>
    </row>
    <row r="743">
      <c r="A743" s="271"/>
      <c r="B743" s="43">
        <v>316.0</v>
      </c>
      <c r="C743" s="43"/>
      <c r="D743" s="41"/>
      <c r="E743" s="94"/>
      <c r="F743" s="43"/>
      <c r="G743" s="43"/>
      <c r="H743" s="43">
        <v>1.0</v>
      </c>
      <c r="I743" s="43">
        <v>1.0</v>
      </c>
      <c r="J743" s="43">
        <v>3.0</v>
      </c>
      <c r="K743" s="45"/>
      <c r="L743" s="45" t="s">
        <v>1973</v>
      </c>
      <c r="M743" s="44" t="s">
        <v>1974</v>
      </c>
      <c r="N743" s="44" t="s">
        <v>1975</v>
      </c>
      <c r="O743" s="47"/>
      <c r="P743" s="47"/>
      <c r="Q743" s="47"/>
      <c r="R743" s="47">
        <f>FDIST(2.75,1,58)</f>
        <v>0.1026536602</v>
      </c>
      <c r="S743" s="47">
        <f t="shared" si="110"/>
        <v>1.632122605</v>
      </c>
      <c r="T743" s="47">
        <f t="shared" si="111"/>
        <v>0.3715021831</v>
      </c>
      <c r="U743" s="50"/>
    </row>
    <row r="744">
      <c r="A744" s="275"/>
      <c r="B744" s="75">
        <v>316.0</v>
      </c>
      <c r="C744" s="75"/>
      <c r="D744" s="76"/>
      <c r="E744" s="95"/>
      <c r="F744" s="75"/>
      <c r="G744" s="75"/>
      <c r="H744" s="75">
        <v>1.0</v>
      </c>
      <c r="I744" s="75">
        <v>1.0</v>
      </c>
      <c r="J744" s="75">
        <v>3.0</v>
      </c>
      <c r="K744" s="78"/>
      <c r="L744" s="78" t="s">
        <v>1976</v>
      </c>
      <c r="M744" s="77" t="s">
        <v>1977</v>
      </c>
      <c r="N744" s="77" t="s">
        <v>1978</v>
      </c>
      <c r="O744" s="80"/>
      <c r="P744" s="80"/>
      <c r="Q744" s="80"/>
      <c r="R744" s="80">
        <f>FDIST(2.08,1,58)</f>
        <v>0.1546186487</v>
      </c>
      <c r="S744" s="80">
        <f t="shared" si="110"/>
        <v>1.423405468</v>
      </c>
      <c r="T744" s="80">
        <f t="shared" si="111"/>
        <v>0.2957738609</v>
      </c>
      <c r="U744" s="81"/>
    </row>
    <row r="745">
      <c r="A745" s="7"/>
      <c r="B745" s="8">
        <v>317.0</v>
      </c>
      <c r="C745" s="14" t="s">
        <v>1979</v>
      </c>
      <c r="D745" s="7" t="s">
        <v>1044</v>
      </c>
      <c r="E745" s="11"/>
      <c r="F745" s="8" t="s">
        <v>1980</v>
      </c>
      <c r="G745" s="8">
        <v>2012.0</v>
      </c>
      <c r="H745" s="8"/>
      <c r="I745" s="8"/>
      <c r="J745" s="8"/>
      <c r="K745" s="16"/>
      <c r="L745" s="13"/>
      <c r="M745" s="15"/>
      <c r="N745" s="15"/>
      <c r="O745" s="15"/>
      <c r="P745" s="15"/>
      <c r="Q745" s="15"/>
      <c r="R745" s="15"/>
      <c r="S745" s="15"/>
      <c r="T745" s="15"/>
      <c r="U745" s="16"/>
    </row>
    <row r="746">
      <c r="A746" s="7"/>
      <c r="B746" s="8">
        <v>318.0</v>
      </c>
      <c r="C746" s="14" t="s">
        <v>1981</v>
      </c>
      <c r="D746" s="7" t="s">
        <v>307</v>
      </c>
      <c r="E746" s="11"/>
      <c r="F746" s="8" t="s">
        <v>1982</v>
      </c>
      <c r="G746" s="8">
        <v>2010.0</v>
      </c>
      <c r="H746" s="8"/>
      <c r="I746" s="8"/>
      <c r="J746" s="8"/>
      <c r="K746" s="16"/>
      <c r="L746" s="13"/>
      <c r="M746" s="15"/>
      <c r="N746" s="15"/>
      <c r="O746" s="15"/>
      <c r="P746" s="15"/>
      <c r="Q746" s="15"/>
      <c r="R746" s="15"/>
      <c r="S746" s="15"/>
      <c r="T746" s="15"/>
      <c r="U746" s="16"/>
    </row>
    <row r="747">
      <c r="A747" s="7"/>
      <c r="B747" s="8">
        <v>319.0</v>
      </c>
      <c r="C747" s="14" t="s">
        <v>1983</v>
      </c>
      <c r="D747" s="7" t="s">
        <v>307</v>
      </c>
      <c r="E747" s="11"/>
      <c r="F747" s="8" t="s">
        <v>1837</v>
      </c>
      <c r="G747" s="8">
        <v>2015.0</v>
      </c>
      <c r="H747" s="8"/>
      <c r="I747" s="8"/>
      <c r="J747" s="8"/>
      <c r="K747" s="16"/>
      <c r="L747" s="13"/>
      <c r="M747" s="15"/>
      <c r="N747" s="15"/>
      <c r="O747" s="15"/>
      <c r="P747" s="15"/>
      <c r="Q747" s="15"/>
      <c r="R747" s="15"/>
      <c r="S747" s="15"/>
      <c r="T747" s="15"/>
      <c r="U747" s="16"/>
    </row>
    <row r="748">
      <c r="A748" s="7"/>
      <c r="B748" s="8">
        <v>320.0</v>
      </c>
      <c r="C748" s="14" t="s">
        <v>1984</v>
      </c>
      <c r="D748" s="7" t="s">
        <v>31</v>
      </c>
      <c r="E748" s="11"/>
      <c r="F748" s="8" t="s">
        <v>1985</v>
      </c>
      <c r="G748" s="8">
        <v>2000.0</v>
      </c>
      <c r="H748" s="8"/>
      <c r="I748" s="8"/>
      <c r="J748" s="8"/>
      <c r="K748" s="16"/>
      <c r="L748" s="13"/>
      <c r="M748" s="15"/>
      <c r="N748" s="15"/>
      <c r="O748" s="15"/>
      <c r="P748" s="15"/>
      <c r="Q748" s="15"/>
      <c r="R748" s="15"/>
      <c r="S748" s="15"/>
      <c r="T748" s="15"/>
      <c r="U748" s="16"/>
    </row>
    <row r="749">
      <c r="A749" s="7"/>
      <c r="B749" s="8">
        <v>321.0</v>
      </c>
      <c r="C749" s="14" t="s">
        <v>1986</v>
      </c>
      <c r="D749" s="7" t="s">
        <v>1987</v>
      </c>
      <c r="E749" s="11"/>
      <c r="F749" s="8" t="s">
        <v>1988</v>
      </c>
      <c r="G749" s="8">
        <v>2010.0</v>
      </c>
      <c r="H749" s="8"/>
      <c r="I749" s="8"/>
      <c r="J749" s="8"/>
      <c r="K749" s="16"/>
      <c r="L749" s="13"/>
      <c r="M749" s="15"/>
      <c r="N749" s="15"/>
      <c r="O749" s="15"/>
      <c r="P749" s="15"/>
      <c r="Q749" s="15"/>
      <c r="R749" s="15"/>
      <c r="S749" s="15"/>
      <c r="T749" s="15"/>
      <c r="U749" s="16"/>
    </row>
    <row r="750">
      <c r="A750" s="7"/>
      <c r="B750" s="8">
        <v>322.0</v>
      </c>
      <c r="C750" s="14" t="s">
        <v>1989</v>
      </c>
      <c r="D750" s="7" t="s">
        <v>307</v>
      </c>
      <c r="E750" s="11"/>
      <c r="F750" s="8" t="s">
        <v>1990</v>
      </c>
      <c r="G750" s="8">
        <v>2001.0</v>
      </c>
      <c r="H750" s="8"/>
      <c r="I750" s="8"/>
      <c r="J750" s="8"/>
      <c r="K750" s="16"/>
      <c r="L750" s="13"/>
      <c r="M750" s="15"/>
      <c r="N750" s="15"/>
      <c r="O750" s="15"/>
      <c r="P750" s="15"/>
      <c r="Q750" s="15"/>
      <c r="R750" s="15"/>
      <c r="S750" s="15"/>
      <c r="T750" s="15"/>
      <c r="U750" s="16"/>
    </row>
    <row r="751">
      <c r="A751" s="7"/>
      <c r="B751" s="8">
        <v>323.0</v>
      </c>
      <c r="C751" s="14" t="s">
        <v>1991</v>
      </c>
      <c r="D751" s="7" t="s">
        <v>45</v>
      </c>
      <c r="E751" s="11"/>
      <c r="F751" s="8" t="s">
        <v>1992</v>
      </c>
      <c r="G751" s="8">
        <v>2017.0</v>
      </c>
      <c r="H751" s="8"/>
      <c r="I751" s="8"/>
      <c r="J751" s="8"/>
      <c r="K751" s="16"/>
      <c r="L751" s="13"/>
      <c r="M751" s="15"/>
      <c r="N751" s="15"/>
      <c r="O751" s="15"/>
      <c r="P751" s="15"/>
      <c r="Q751" s="15"/>
      <c r="R751" s="15"/>
      <c r="S751" s="15"/>
      <c r="T751" s="15"/>
      <c r="U751" s="16"/>
    </row>
    <row r="752">
      <c r="A752" s="7"/>
      <c r="B752" s="8">
        <v>324.0</v>
      </c>
      <c r="C752" s="14" t="s">
        <v>1993</v>
      </c>
      <c r="D752" s="7" t="s">
        <v>307</v>
      </c>
      <c r="E752" s="11"/>
      <c r="F752" s="8" t="s">
        <v>1994</v>
      </c>
      <c r="G752" s="8">
        <v>2001.0</v>
      </c>
      <c r="H752" s="8"/>
      <c r="I752" s="8"/>
      <c r="J752" s="8"/>
      <c r="K752" s="16"/>
      <c r="L752" s="13"/>
      <c r="M752" s="15"/>
      <c r="N752" s="15"/>
      <c r="O752" s="15"/>
      <c r="P752" s="15"/>
      <c r="Q752" s="15"/>
      <c r="R752" s="15"/>
      <c r="S752" s="15"/>
      <c r="T752" s="15"/>
      <c r="U752" s="16"/>
    </row>
    <row r="753">
      <c r="A753" s="7"/>
      <c r="B753" s="8">
        <v>325.0</v>
      </c>
      <c r="C753" s="14" t="s">
        <v>1995</v>
      </c>
      <c r="D753" s="7" t="s">
        <v>31</v>
      </c>
      <c r="E753" s="11"/>
      <c r="F753" s="8" t="s">
        <v>1996</v>
      </c>
      <c r="G753" s="8">
        <v>2016.0</v>
      </c>
      <c r="H753" s="8"/>
      <c r="I753" s="8"/>
      <c r="J753" s="8"/>
      <c r="K753" s="16"/>
      <c r="L753" s="13"/>
      <c r="M753" s="15"/>
      <c r="N753" s="15"/>
      <c r="O753" s="15"/>
      <c r="P753" s="15"/>
      <c r="Q753" s="15"/>
      <c r="R753" s="15"/>
      <c r="S753" s="15"/>
      <c r="T753" s="15"/>
      <c r="U753" s="16"/>
    </row>
    <row r="754">
      <c r="A754" s="7"/>
      <c r="B754" s="8">
        <v>326.0</v>
      </c>
      <c r="C754" s="14" t="s">
        <v>1997</v>
      </c>
      <c r="D754" s="7" t="s">
        <v>307</v>
      </c>
      <c r="E754" s="11"/>
      <c r="F754" s="8" t="s">
        <v>1998</v>
      </c>
      <c r="G754" s="8">
        <v>2010.0</v>
      </c>
      <c r="H754" s="8"/>
      <c r="I754" s="8"/>
      <c r="J754" s="8"/>
      <c r="K754" s="16"/>
      <c r="L754" s="13"/>
      <c r="M754" s="15"/>
      <c r="N754" s="15"/>
      <c r="O754" s="15"/>
      <c r="P754" s="15"/>
      <c r="Q754" s="15"/>
      <c r="R754" s="15"/>
      <c r="S754" s="15"/>
      <c r="T754" s="15"/>
      <c r="U754" s="16"/>
    </row>
    <row r="755">
      <c r="A755" s="270">
        <v>1.0</v>
      </c>
      <c r="B755" s="89">
        <v>327.0</v>
      </c>
      <c r="C755" s="87" t="s">
        <v>1999</v>
      </c>
      <c r="D755" s="88" t="s">
        <v>48</v>
      </c>
      <c r="E755" s="219"/>
      <c r="F755" s="89" t="s">
        <v>1963</v>
      </c>
      <c r="G755" s="89">
        <v>2000.0</v>
      </c>
      <c r="H755" s="89">
        <v>1.0</v>
      </c>
      <c r="I755" s="89">
        <v>1.0</v>
      </c>
      <c r="J755" s="89">
        <v>1.0</v>
      </c>
      <c r="K755" s="91" t="s">
        <v>2000</v>
      </c>
      <c r="L755" s="91" t="s">
        <v>2001</v>
      </c>
      <c r="M755" s="90" t="s">
        <v>2002</v>
      </c>
      <c r="N755" s="90" t="s">
        <v>169</v>
      </c>
      <c r="O755" s="92"/>
      <c r="P755" s="90" t="s">
        <v>2003</v>
      </c>
      <c r="Q755" s="92"/>
      <c r="R755" s="92">
        <f>TDIST(2.56,181,2)</f>
        <v>0.01128398513</v>
      </c>
      <c r="S755" s="92">
        <f t="shared" ref="S755:S758" si="112">NORMINV(1-R755/2,0,1)</f>
        <v>2.533779068</v>
      </c>
      <c r="T755" s="92">
        <f t="shared" ref="T755:T758" si="113">NORMDIST(S755,1.96,1,TRUE)</f>
        <v>0.7169413425</v>
      </c>
      <c r="U755" s="93"/>
    </row>
    <row r="756">
      <c r="A756" s="271"/>
      <c r="B756" s="43">
        <v>327.0</v>
      </c>
      <c r="C756" s="43"/>
      <c r="D756" s="41"/>
      <c r="E756" s="94"/>
      <c r="F756" s="43"/>
      <c r="G756" s="43"/>
      <c r="H756" s="43">
        <v>1.0</v>
      </c>
      <c r="I756" s="43"/>
      <c r="J756" s="43"/>
      <c r="K756" s="45"/>
      <c r="L756" s="45" t="s">
        <v>2004</v>
      </c>
      <c r="M756" s="44" t="s">
        <v>2005</v>
      </c>
      <c r="N756" s="44" t="s">
        <v>169</v>
      </c>
      <c r="O756" s="47"/>
      <c r="P756" s="44" t="s">
        <v>2003</v>
      </c>
      <c r="Q756" s="47"/>
      <c r="R756" s="47">
        <f>TDIST(2.58,181,2)</f>
        <v>0.01067312913</v>
      </c>
      <c r="S756" s="47">
        <f t="shared" si="112"/>
        <v>2.553222499</v>
      </c>
      <c r="T756" s="47">
        <f t="shared" si="113"/>
        <v>0.7234838714</v>
      </c>
      <c r="U756" s="50"/>
    </row>
    <row r="757">
      <c r="A757" s="271"/>
      <c r="B757" s="43">
        <v>327.0</v>
      </c>
      <c r="C757" s="43"/>
      <c r="D757" s="41"/>
      <c r="E757" s="94"/>
      <c r="F757" s="43"/>
      <c r="G757" s="43"/>
      <c r="H757" s="43">
        <v>1.0</v>
      </c>
      <c r="I757" s="43">
        <v>1.0</v>
      </c>
      <c r="J757" s="43">
        <v>2.0</v>
      </c>
      <c r="K757" s="45" t="s">
        <v>2006</v>
      </c>
      <c r="L757" s="45" t="s">
        <v>2007</v>
      </c>
      <c r="M757" s="44" t="s">
        <v>2008</v>
      </c>
      <c r="N757" s="44" t="s">
        <v>169</v>
      </c>
      <c r="O757" s="47"/>
      <c r="P757" s="44" t="s">
        <v>2009</v>
      </c>
      <c r="Q757" s="47"/>
      <c r="R757" s="47">
        <f>TDIST(2.53,179,2)</f>
        <v>0.01226869026</v>
      </c>
      <c r="S757" s="47">
        <f t="shared" si="112"/>
        <v>2.504320326</v>
      </c>
      <c r="T757" s="47">
        <f t="shared" si="113"/>
        <v>0.7068894689</v>
      </c>
      <c r="U757" s="50"/>
    </row>
    <row r="758">
      <c r="A758" s="275"/>
      <c r="B758" s="75">
        <v>327.0</v>
      </c>
      <c r="C758" s="75"/>
      <c r="D758" s="76"/>
      <c r="E758" s="95"/>
      <c r="F758" s="75"/>
      <c r="G758" s="75"/>
      <c r="H758" s="75">
        <v>1.0</v>
      </c>
      <c r="I758" s="75">
        <v>1.0</v>
      </c>
      <c r="J758" s="75">
        <v>3.0</v>
      </c>
      <c r="K758" s="78" t="s">
        <v>2010</v>
      </c>
      <c r="L758" s="78" t="s">
        <v>2011</v>
      </c>
      <c r="M758" s="77" t="s">
        <v>2012</v>
      </c>
      <c r="N758" s="77" t="s">
        <v>169</v>
      </c>
      <c r="O758" s="80"/>
      <c r="P758" s="77" t="s">
        <v>2013</v>
      </c>
      <c r="Q758" s="80"/>
      <c r="R758" s="80">
        <f>TDIST(4.6,151,2)</f>
        <v>0.000008881466609</v>
      </c>
      <c r="S758" s="80">
        <f t="shared" si="112"/>
        <v>4.442754062</v>
      </c>
      <c r="T758" s="80">
        <f t="shared" si="113"/>
        <v>0.9934814469</v>
      </c>
      <c r="U758" s="81"/>
    </row>
    <row r="759">
      <c r="A759" s="7"/>
      <c r="B759" s="8">
        <v>328.0</v>
      </c>
      <c r="C759" s="14" t="s">
        <v>2014</v>
      </c>
      <c r="D759" s="7" t="s">
        <v>307</v>
      </c>
      <c r="E759" s="11"/>
      <c r="F759" s="8" t="s">
        <v>2015</v>
      </c>
      <c r="G759" s="8">
        <v>2014.0</v>
      </c>
      <c r="H759" s="8"/>
      <c r="I759" s="8"/>
      <c r="J759" s="8"/>
      <c r="K759" s="16"/>
      <c r="L759" s="13"/>
      <c r="M759" s="15"/>
      <c r="N759" s="15"/>
      <c r="O759" s="15"/>
      <c r="P759" s="15"/>
      <c r="Q759" s="15"/>
      <c r="R759" s="15"/>
      <c r="S759" s="15"/>
      <c r="T759" s="15"/>
      <c r="U759" s="16"/>
    </row>
    <row r="760">
      <c r="A760" s="270">
        <v>1.0</v>
      </c>
      <c r="B760" s="89">
        <v>329.0</v>
      </c>
      <c r="C760" s="87" t="s">
        <v>2016</v>
      </c>
      <c r="D760" s="88" t="s">
        <v>48</v>
      </c>
      <c r="E760" s="219"/>
      <c r="F760" s="89" t="s">
        <v>2017</v>
      </c>
      <c r="G760" s="89">
        <v>2015.0</v>
      </c>
      <c r="H760" s="89"/>
      <c r="I760" s="89">
        <v>1.0</v>
      </c>
      <c r="J760" s="89">
        <v>1.0</v>
      </c>
      <c r="K760" s="91" t="s">
        <v>2018</v>
      </c>
      <c r="L760" s="91" t="s">
        <v>2019</v>
      </c>
      <c r="M760" s="90" t="s">
        <v>2020</v>
      </c>
      <c r="N760" s="90" t="s">
        <v>169</v>
      </c>
      <c r="O760" s="92"/>
      <c r="P760" s="92"/>
      <c r="Q760" s="92"/>
      <c r="R760" s="92"/>
      <c r="S760" s="92"/>
      <c r="T760" s="92"/>
      <c r="U760" s="93" t="s">
        <v>2021</v>
      </c>
    </row>
    <row r="761">
      <c r="A761" s="281"/>
      <c r="B761" s="70">
        <v>329.0</v>
      </c>
      <c r="C761" s="70"/>
      <c r="D761" s="68"/>
      <c r="E761" s="220"/>
      <c r="F761" s="70"/>
      <c r="G761" s="70"/>
      <c r="H761" s="70">
        <v>1.0</v>
      </c>
      <c r="I761" s="70">
        <v>1.0</v>
      </c>
      <c r="J761" s="282" t="s">
        <v>642</v>
      </c>
      <c r="K761" s="61" t="s">
        <v>2022</v>
      </c>
      <c r="L761" s="61" t="s">
        <v>2023</v>
      </c>
      <c r="M761" s="71" t="s">
        <v>2024</v>
      </c>
      <c r="N761" s="71" t="s">
        <v>169</v>
      </c>
      <c r="O761" s="72"/>
      <c r="P761" s="72"/>
      <c r="Q761" s="72"/>
      <c r="R761" s="72"/>
      <c r="S761" s="72"/>
      <c r="T761" s="72"/>
      <c r="U761" s="73"/>
    </row>
    <row r="762">
      <c r="A762" s="281"/>
      <c r="B762" s="70">
        <v>329.0</v>
      </c>
      <c r="C762" s="70"/>
      <c r="D762" s="68"/>
      <c r="E762" s="220"/>
      <c r="F762" s="70"/>
      <c r="G762" s="70"/>
      <c r="H762" s="70">
        <v>1.0</v>
      </c>
      <c r="I762" s="70">
        <v>1.0</v>
      </c>
      <c r="J762" s="282" t="s">
        <v>644</v>
      </c>
      <c r="K762" s="61" t="s">
        <v>2025</v>
      </c>
      <c r="L762" s="61" t="s">
        <v>2026</v>
      </c>
      <c r="M762" s="71" t="s">
        <v>2027</v>
      </c>
      <c r="N762" s="71" t="s">
        <v>2028</v>
      </c>
      <c r="O762" s="72"/>
      <c r="P762" s="72"/>
      <c r="Q762" s="72"/>
      <c r="R762" s="72"/>
      <c r="S762" s="72"/>
      <c r="T762" s="72"/>
      <c r="U762" s="73"/>
    </row>
    <row r="763">
      <c r="A763" s="274"/>
      <c r="B763" s="62"/>
      <c r="C763" s="62"/>
      <c r="D763" s="22"/>
      <c r="E763" s="127"/>
      <c r="F763" s="62"/>
      <c r="G763" s="62"/>
      <c r="H763" s="62"/>
      <c r="I763" s="62"/>
      <c r="J763" s="62">
        <v>3.0</v>
      </c>
      <c r="K763" s="64" t="s">
        <v>2029</v>
      </c>
      <c r="L763" s="65"/>
      <c r="M763" s="66"/>
      <c r="N763" s="66"/>
      <c r="O763" s="66"/>
      <c r="P763" s="66"/>
      <c r="Q763" s="66"/>
      <c r="R763" s="66"/>
      <c r="S763" s="66"/>
      <c r="T763" s="66"/>
      <c r="U763" s="67"/>
    </row>
    <row r="764">
      <c r="A764" s="277"/>
      <c r="B764" s="105"/>
      <c r="C764" s="105"/>
      <c r="D764" s="106"/>
      <c r="E764" s="129"/>
      <c r="F764" s="105"/>
      <c r="G764" s="105"/>
      <c r="H764" s="105"/>
      <c r="I764" s="105"/>
      <c r="J764" s="105">
        <v>4.0</v>
      </c>
      <c r="K764" s="108" t="s">
        <v>2030</v>
      </c>
      <c r="L764" s="108" t="s">
        <v>2031</v>
      </c>
      <c r="M764" s="110"/>
      <c r="N764" s="110"/>
      <c r="O764" s="110"/>
      <c r="P764" s="110"/>
      <c r="Q764" s="110"/>
      <c r="R764" s="110"/>
      <c r="S764" s="110"/>
      <c r="T764" s="110"/>
      <c r="U764" s="111"/>
    </row>
    <row r="765">
      <c r="A765" s="7"/>
      <c r="B765" s="8">
        <v>330.0</v>
      </c>
      <c r="C765" s="14" t="s">
        <v>2032</v>
      </c>
      <c r="D765" s="7" t="s">
        <v>2033</v>
      </c>
      <c r="E765" s="11"/>
      <c r="F765" s="8" t="s">
        <v>2034</v>
      </c>
      <c r="G765" s="8">
        <v>2008.0</v>
      </c>
      <c r="H765" s="8"/>
      <c r="I765" s="8"/>
      <c r="J765" s="8"/>
      <c r="K765" s="16"/>
      <c r="L765" s="13"/>
      <c r="M765" s="15"/>
      <c r="N765" s="15"/>
      <c r="O765" s="15"/>
      <c r="P765" s="15"/>
      <c r="Q765" s="15"/>
      <c r="R765" s="15"/>
      <c r="S765" s="15"/>
      <c r="T765" s="15"/>
      <c r="U765" s="16"/>
    </row>
    <row r="766">
      <c r="A766" s="7"/>
      <c r="B766" s="8">
        <v>331.0</v>
      </c>
      <c r="C766" s="14" t="s">
        <v>2035</v>
      </c>
      <c r="D766" s="7" t="s">
        <v>444</v>
      </c>
      <c r="E766" s="11"/>
      <c r="F766" s="283" t="s">
        <v>1990</v>
      </c>
      <c r="G766" s="8">
        <v>2011.0</v>
      </c>
      <c r="H766" s="8"/>
      <c r="I766" s="8"/>
      <c r="J766" s="8"/>
      <c r="K766" s="16"/>
      <c r="L766" s="13"/>
      <c r="M766" s="15"/>
      <c r="N766" s="15"/>
      <c r="O766" s="15"/>
      <c r="P766" s="15"/>
      <c r="Q766" s="15"/>
      <c r="R766" s="15"/>
      <c r="S766" s="15"/>
      <c r="T766" s="15"/>
      <c r="U766" s="16"/>
    </row>
    <row r="767">
      <c r="A767" s="7"/>
      <c r="B767" s="8">
        <v>332.0</v>
      </c>
      <c r="C767" s="14" t="s">
        <v>2036</v>
      </c>
      <c r="D767" s="7" t="s">
        <v>307</v>
      </c>
      <c r="E767" s="11"/>
      <c r="F767" s="8" t="s">
        <v>1269</v>
      </c>
      <c r="G767" s="8">
        <v>2009.0</v>
      </c>
      <c r="H767" s="8"/>
      <c r="I767" s="8"/>
      <c r="J767" s="8"/>
      <c r="K767" s="16"/>
      <c r="L767" s="13"/>
      <c r="M767" s="15"/>
      <c r="N767" s="15"/>
      <c r="O767" s="15"/>
      <c r="P767" s="15"/>
      <c r="Q767" s="15"/>
      <c r="R767" s="15"/>
      <c r="S767" s="15"/>
      <c r="T767" s="15"/>
      <c r="U767" s="16"/>
    </row>
    <row r="768">
      <c r="A768" s="7"/>
      <c r="B768" s="8">
        <v>333.0</v>
      </c>
      <c r="C768" s="14" t="s">
        <v>2037</v>
      </c>
      <c r="D768" s="7" t="s">
        <v>307</v>
      </c>
      <c r="E768" s="11"/>
      <c r="F768" s="8" t="s">
        <v>2038</v>
      </c>
      <c r="G768" s="8">
        <v>2008.0</v>
      </c>
      <c r="H768" s="8"/>
      <c r="I768" s="8"/>
      <c r="J768" s="8"/>
      <c r="K768" s="16"/>
      <c r="L768" s="13"/>
      <c r="M768" s="15"/>
      <c r="N768" s="15"/>
      <c r="O768" s="15"/>
      <c r="P768" s="15"/>
      <c r="Q768" s="15"/>
      <c r="R768" s="15"/>
      <c r="S768" s="15"/>
      <c r="T768" s="15"/>
      <c r="U768" s="16"/>
    </row>
    <row r="769">
      <c r="A769" s="284">
        <v>1.0</v>
      </c>
      <c r="B769" s="285">
        <v>334.0</v>
      </c>
      <c r="C769" s="286" t="s">
        <v>2039</v>
      </c>
      <c r="D769" s="287" t="s">
        <v>48</v>
      </c>
      <c r="E769" s="288" t="s">
        <v>32</v>
      </c>
      <c r="F769" s="288" t="s">
        <v>2040</v>
      </c>
      <c r="G769" s="289">
        <v>2018.0</v>
      </c>
      <c r="H769" s="89">
        <v>1.0</v>
      </c>
      <c r="I769" s="290">
        <v>1.0</v>
      </c>
      <c r="J769" s="291">
        <v>1.0</v>
      </c>
      <c r="K769" s="292" t="s">
        <v>2041</v>
      </c>
      <c r="L769" s="287" t="s">
        <v>2042</v>
      </c>
      <c r="M769" s="293" t="s">
        <v>2043</v>
      </c>
      <c r="N769" s="293">
        <v>0.001</v>
      </c>
      <c r="O769" s="218"/>
      <c r="P769" s="289"/>
      <c r="Q769" s="218"/>
      <c r="R769" s="293">
        <f>FDIST(26.02,2,447)</f>
        <v>0</v>
      </c>
      <c r="S769" s="289">
        <f t="shared" ref="S769:S773" si="114">NORMINV(1-R769/2,0,1)</f>
        <v>6.702846086</v>
      </c>
      <c r="T769" s="294">
        <f t="shared" ref="T769:T773" si="115">NORMDIST(S769,1.96,1,TRUE)</f>
        <v>0.9999989463</v>
      </c>
      <c r="U769" s="295" t="s">
        <v>2044</v>
      </c>
    </row>
    <row r="770">
      <c r="A770" s="296"/>
      <c r="B770" s="297">
        <v>334.0</v>
      </c>
      <c r="C770" s="296"/>
      <c r="D770" s="296"/>
      <c r="E770" s="298"/>
      <c r="F770" s="296"/>
      <c r="G770" s="60"/>
      <c r="H770" s="43">
        <v>1.0</v>
      </c>
      <c r="I770" s="297">
        <v>1.0</v>
      </c>
      <c r="J770" s="297">
        <v>1.0</v>
      </c>
      <c r="K770" s="296"/>
      <c r="L770" s="296" t="s">
        <v>2045</v>
      </c>
      <c r="M770" s="299" t="s">
        <v>2046</v>
      </c>
      <c r="N770" s="300">
        <v>0.047</v>
      </c>
      <c r="O770" s="60"/>
      <c r="P770" s="298"/>
      <c r="Q770" s="60"/>
      <c r="R770" s="300">
        <f>FDIST(3.09,2,449)</f>
        <v>0.04647095058</v>
      </c>
      <c r="S770" s="298">
        <f t="shared" si="114"/>
        <v>1.991090393</v>
      </c>
      <c r="T770" s="298">
        <f t="shared" si="115"/>
        <v>0.5124012743</v>
      </c>
      <c r="U770" s="50"/>
    </row>
    <row r="771">
      <c r="A771" s="296"/>
      <c r="B771" s="297">
        <v>334.0</v>
      </c>
      <c r="C771" s="296"/>
      <c r="D771" s="296"/>
      <c r="E771" s="298"/>
      <c r="F771" s="296"/>
      <c r="G771" s="60"/>
      <c r="H771" s="43">
        <v>1.0</v>
      </c>
      <c r="I771" s="297">
        <v>1.0</v>
      </c>
      <c r="J771" s="301">
        <v>2.0</v>
      </c>
      <c r="K771" s="302" t="s">
        <v>2047</v>
      </c>
      <c r="L771" s="296" t="s">
        <v>2048</v>
      </c>
      <c r="M771" s="300" t="s">
        <v>2043</v>
      </c>
      <c r="N771" s="300">
        <v>0.001</v>
      </c>
      <c r="O771" s="60"/>
      <c r="P771" s="298"/>
      <c r="Q771" s="60"/>
      <c r="R771" s="300">
        <f>FDIST(25.02,2,447)</f>
        <v>0</v>
      </c>
      <c r="S771" s="298">
        <f t="shared" si="114"/>
        <v>6.570490857</v>
      </c>
      <c r="T771" s="298">
        <f t="shared" si="115"/>
        <v>0.9999979914</v>
      </c>
      <c r="U771" s="50"/>
    </row>
    <row r="772">
      <c r="A772" s="296"/>
      <c r="B772" s="297">
        <v>334.0</v>
      </c>
      <c r="C772" s="296"/>
      <c r="D772" s="296"/>
      <c r="E772" s="298"/>
      <c r="F772" s="296"/>
      <c r="G772" s="60"/>
      <c r="H772" s="43">
        <v>1.0</v>
      </c>
      <c r="I772" s="297">
        <v>1.0</v>
      </c>
      <c r="J772" s="297">
        <v>2.0</v>
      </c>
      <c r="K772" s="296"/>
      <c r="L772" s="296" t="s">
        <v>2049</v>
      </c>
      <c r="M772" s="299" t="s">
        <v>2046</v>
      </c>
      <c r="N772" s="300">
        <v>0.047</v>
      </c>
      <c r="O772" s="60"/>
      <c r="P772" s="298"/>
      <c r="Q772" s="60"/>
      <c r="R772" s="300">
        <f>FDIST(3.09,2,449)</f>
        <v>0.04647095058</v>
      </c>
      <c r="S772" s="298">
        <f t="shared" si="114"/>
        <v>1.991090393</v>
      </c>
      <c r="T772" s="298">
        <f t="shared" si="115"/>
        <v>0.5124012743</v>
      </c>
      <c r="U772" s="50"/>
    </row>
    <row r="773">
      <c r="A773" s="303"/>
      <c r="B773" s="304">
        <v>334.0</v>
      </c>
      <c r="C773" s="303"/>
      <c r="D773" s="303"/>
      <c r="E773" s="305"/>
      <c r="F773" s="303"/>
      <c r="G773" s="267"/>
      <c r="H773" s="75">
        <v>1.0</v>
      </c>
      <c r="I773" s="304">
        <v>1.0</v>
      </c>
      <c r="J773" s="306">
        <v>3.0</v>
      </c>
      <c r="K773" s="307" t="s">
        <v>2050</v>
      </c>
      <c r="L773" s="303" t="s">
        <v>2051</v>
      </c>
      <c r="M773" s="308" t="s">
        <v>2052</v>
      </c>
      <c r="N773" s="308">
        <v>0.001</v>
      </c>
      <c r="O773" s="267"/>
      <c r="P773" s="305"/>
      <c r="Q773" s="267"/>
      <c r="R773" s="308">
        <f>FDIST(36.81,1,435)</f>
        <v>0.000000002833764667</v>
      </c>
      <c r="S773" s="305">
        <f t="shared" si="114"/>
        <v>5.940949171</v>
      </c>
      <c r="T773" s="305">
        <f t="shared" si="115"/>
        <v>0.9999656797</v>
      </c>
      <c r="U773" s="81"/>
    </row>
    <row r="774">
      <c r="A774" s="7"/>
      <c r="B774" s="8"/>
      <c r="C774" s="8"/>
      <c r="D774" s="7"/>
      <c r="E774" s="11"/>
      <c r="F774" s="8"/>
      <c r="G774" s="8"/>
      <c r="H774" s="8"/>
      <c r="I774" s="8"/>
      <c r="J774" s="8"/>
      <c r="K774" s="16"/>
      <c r="L774" s="13"/>
      <c r="M774" s="15"/>
      <c r="N774" s="15"/>
      <c r="O774" s="15"/>
      <c r="P774" s="15"/>
      <c r="Q774" s="15"/>
      <c r="R774" s="15"/>
      <c r="S774" s="15"/>
      <c r="T774" s="15"/>
      <c r="U774" s="16"/>
    </row>
    <row r="775">
      <c r="A775" s="309">
        <v>1.0</v>
      </c>
      <c r="B775" s="148">
        <v>335.0</v>
      </c>
      <c r="C775" s="146" t="s">
        <v>2053</v>
      </c>
      <c r="D775" s="147" t="s">
        <v>48</v>
      </c>
      <c r="E775" s="223"/>
      <c r="F775" s="148" t="s">
        <v>2054</v>
      </c>
      <c r="G775" s="148">
        <v>2014.0</v>
      </c>
      <c r="H775" s="148"/>
      <c r="I775" s="148">
        <v>1.0</v>
      </c>
      <c r="J775" s="148">
        <v>1.0</v>
      </c>
      <c r="K775" s="150" t="s">
        <v>2055</v>
      </c>
      <c r="L775" s="150" t="s">
        <v>2056</v>
      </c>
      <c r="M775" s="151"/>
      <c r="N775" s="151"/>
      <c r="O775" s="151"/>
      <c r="P775" s="151"/>
      <c r="Q775" s="151"/>
      <c r="R775" s="151"/>
      <c r="S775" s="151"/>
      <c r="T775" s="151"/>
      <c r="U775" s="200"/>
    </row>
    <row r="776">
      <c r="A776" s="271"/>
      <c r="B776" s="43">
        <v>335.0</v>
      </c>
      <c r="C776" s="43"/>
      <c r="D776" s="41"/>
      <c r="E776" s="94"/>
      <c r="F776" s="43"/>
      <c r="G776" s="43"/>
      <c r="H776" s="43">
        <v>1.0</v>
      </c>
      <c r="I776" s="43">
        <v>1.0</v>
      </c>
      <c r="J776" s="43">
        <v>2.0</v>
      </c>
      <c r="K776" s="45" t="s">
        <v>2057</v>
      </c>
      <c r="L776" s="45" t="s">
        <v>2058</v>
      </c>
      <c r="M776" s="44" t="s">
        <v>2059</v>
      </c>
      <c r="N776" s="44" t="s">
        <v>169</v>
      </c>
      <c r="O776" s="47"/>
      <c r="P776" s="44" t="s">
        <v>2060</v>
      </c>
      <c r="Q776" s="47"/>
      <c r="R776" s="47">
        <f>FDIST(25.28,2,198)</f>
        <v>0.0000000001667865845</v>
      </c>
      <c r="S776" s="298">
        <f t="shared" ref="S776:S779" si="116">NORMINV(1-R776/2,0,1)</f>
        <v>6.389171805</v>
      </c>
      <c r="T776" s="298">
        <f t="shared" ref="T776:T779" si="117">NORMDIST(S776,1.96,1,TRUE)</f>
        <v>0.9999952702</v>
      </c>
      <c r="U776" s="50"/>
    </row>
    <row r="777">
      <c r="A777" s="271">
        <v>1.0</v>
      </c>
      <c r="B777" s="43">
        <v>335.0</v>
      </c>
      <c r="C777" s="43"/>
      <c r="D777" s="41"/>
      <c r="E777" s="94"/>
      <c r="F777" s="43"/>
      <c r="G777" s="43"/>
      <c r="H777" s="43">
        <v>2.0</v>
      </c>
      <c r="I777" s="43">
        <v>2.0</v>
      </c>
      <c r="J777" s="43">
        <v>1.0</v>
      </c>
      <c r="K777" s="45" t="s">
        <v>2061</v>
      </c>
      <c r="L777" s="45" t="s">
        <v>2062</v>
      </c>
      <c r="M777" s="122" t="s">
        <v>2063</v>
      </c>
      <c r="N777" s="44" t="s">
        <v>169</v>
      </c>
      <c r="O777" s="47"/>
      <c r="P777" s="44" t="s">
        <v>2064</v>
      </c>
      <c r="Q777" s="47"/>
      <c r="R777" s="47">
        <f>FDIST(94.5,1,319)</f>
        <v>0</v>
      </c>
      <c r="S777" s="298" t="str">
        <f t="shared" si="116"/>
        <v>#NUM!</v>
      </c>
      <c r="T777" s="298" t="str">
        <f t="shared" si="117"/>
        <v>#NUM!</v>
      </c>
      <c r="U777" s="50"/>
    </row>
    <row r="778">
      <c r="A778" s="271"/>
      <c r="B778" s="43">
        <v>335.0</v>
      </c>
      <c r="C778" s="43"/>
      <c r="D778" s="41"/>
      <c r="E778" s="94"/>
      <c r="F778" s="43"/>
      <c r="G778" s="43"/>
      <c r="H778" s="43">
        <v>2.0</v>
      </c>
      <c r="I778" s="43">
        <v>2.0</v>
      </c>
      <c r="J778" s="43">
        <v>2.0</v>
      </c>
      <c r="K778" s="45" t="s">
        <v>2065</v>
      </c>
      <c r="L778" s="45" t="s">
        <v>2066</v>
      </c>
      <c r="M778" s="44" t="s">
        <v>2067</v>
      </c>
      <c r="N778" s="44" t="s">
        <v>169</v>
      </c>
      <c r="O778" s="47"/>
      <c r="P778" s="47"/>
      <c r="Q778" s="47"/>
      <c r="R778" s="47">
        <f>FDIST(9.03,1,319)</f>
        <v>0.002866360509</v>
      </c>
      <c r="S778" s="298">
        <f t="shared" si="116"/>
        <v>2.98171783</v>
      </c>
      <c r="T778" s="298">
        <f t="shared" si="117"/>
        <v>0.8465427652</v>
      </c>
      <c r="U778" s="50"/>
    </row>
    <row r="779">
      <c r="A779" s="271"/>
      <c r="B779" s="43">
        <v>335.0</v>
      </c>
      <c r="C779" s="43"/>
      <c r="D779" s="41"/>
      <c r="E779" s="94"/>
      <c r="F779" s="43"/>
      <c r="G779" s="43"/>
      <c r="H779" s="43">
        <v>2.0</v>
      </c>
      <c r="I779" s="43">
        <v>2.0</v>
      </c>
      <c r="J779" s="43">
        <v>3.0</v>
      </c>
      <c r="K779" s="45" t="s">
        <v>2068</v>
      </c>
      <c r="L779" s="45" t="s">
        <v>2069</v>
      </c>
      <c r="M779" s="44" t="s">
        <v>2070</v>
      </c>
      <c r="N779" s="44" t="s">
        <v>169</v>
      </c>
      <c r="O779" s="47"/>
      <c r="P779" s="44" t="s">
        <v>1692</v>
      </c>
      <c r="Q779" s="47"/>
      <c r="R779" s="47">
        <f>FDIST(23.28,1,319)</f>
        <v>0.000002174057427</v>
      </c>
      <c r="S779" s="298">
        <f t="shared" si="116"/>
        <v>4.736532643</v>
      </c>
      <c r="T779" s="298">
        <f t="shared" si="117"/>
        <v>0.9972528941</v>
      </c>
      <c r="U779" s="50"/>
    </row>
    <row r="780">
      <c r="A780" s="271"/>
      <c r="B780" s="43">
        <v>335.0</v>
      </c>
      <c r="C780" s="43"/>
      <c r="D780" s="41"/>
      <c r="E780" s="94"/>
      <c r="F780" s="43"/>
      <c r="G780" s="43"/>
      <c r="H780" s="43">
        <v>2.0</v>
      </c>
      <c r="I780" s="43">
        <v>2.0</v>
      </c>
      <c r="J780" s="43">
        <v>4.0</v>
      </c>
      <c r="K780" s="45" t="s">
        <v>2071</v>
      </c>
      <c r="L780" s="45" t="s">
        <v>2072</v>
      </c>
      <c r="M780" s="44" t="s">
        <v>2073</v>
      </c>
      <c r="N780" s="96" t="s">
        <v>169</v>
      </c>
      <c r="O780" s="47"/>
      <c r="P780" s="44" t="s">
        <v>2074</v>
      </c>
      <c r="Q780" s="47"/>
      <c r="R780" s="47"/>
      <c r="S780" s="47"/>
      <c r="T780" s="47"/>
      <c r="U780" s="50"/>
    </row>
    <row r="781">
      <c r="A781" s="271"/>
      <c r="B781" s="43">
        <v>335.0</v>
      </c>
      <c r="C781" s="43"/>
      <c r="D781" s="41"/>
      <c r="E781" s="94"/>
      <c r="F781" s="43"/>
      <c r="G781" s="43"/>
      <c r="H781" s="43">
        <v>2.0</v>
      </c>
      <c r="I781" s="43">
        <v>2.0</v>
      </c>
      <c r="J781" s="43">
        <v>5.0</v>
      </c>
      <c r="K781" s="45" t="s">
        <v>2075</v>
      </c>
      <c r="L781" s="45" t="s">
        <v>2076</v>
      </c>
      <c r="M781" s="44" t="s">
        <v>2077</v>
      </c>
      <c r="N781" s="44" t="s">
        <v>2078</v>
      </c>
      <c r="O781" s="47"/>
      <c r="P781" s="44" t="s">
        <v>2079</v>
      </c>
      <c r="Q781" s="47"/>
      <c r="R781" s="47">
        <f>FDIST(3.62,2,226)</f>
        <v>0.02834724929</v>
      </c>
      <c r="S781" s="298">
        <f>NORMINV(1-R781/2,0,1)</f>
        <v>2.192446954</v>
      </c>
      <c r="T781" s="298">
        <f>NORMDIST(S781,1.96,1,TRUE)</f>
        <v>0.5919045581</v>
      </c>
      <c r="U781" s="50"/>
    </row>
    <row r="782">
      <c r="A782" s="277"/>
      <c r="B782" s="105">
        <v>335.0</v>
      </c>
      <c r="C782" s="105"/>
      <c r="D782" s="106"/>
      <c r="E782" s="129"/>
      <c r="F782" s="105"/>
      <c r="G782" s="105"/>
      <c r="H782" s="105"/>
      <c r="I782" s="105">
        <v>2.0</v>
      </c>
      <c r="J782" s="105">
        <v>6.0</v>
      </c>
      <c r="K782" s="108" t="s">
        <v>2080</v>
      </c>
      <c r="L782" s="108" t="s">
        <v>2081</v>
      </c>
      <c r="M782" s="110"/>
      <c r="N782" s="110"/>
      <c r="O782" s="110"/>
      <c r="P782" s="110"/>
      <c r="Q782" s="110"/>
      <c r="R782" s="110"/>
      <c r="S782" s="110"/>
      <c r="T782" s="110"/>
      <c r="U782" s="111"/>
    </row>
    <row r="783">
      <c r="A783" s="7"/>
      <c r="B783" s="8">
        <v>336.0</v>
      </c>
      <c r="C783" s="14" t="s">
        <v>2082</v>
      </c>
      <c r="D783" s="7" t="s">
        <v>22</v>
      </c>
      <c r="E783" s="11"/>
      <c r="F783" s="8" t="s">
        <v>2083</v>
      </c>
      <c r="G783" s="8">
        <v>2007.0</v>
      </c>
      <c r="H783" s="8"/>
      <c r="I783" s="8"/>
      <c r="J783" s="8"/>
      <c r="K783" s="16"/>
      <c r="L783" s="13"/>
      <c r="M783" s="15"/>
      <c r="N783" s="15"/>
      <c r="O783" s="15"/>
      <c r="P783" s="15"/>
      <c r="Q783" s="15"/>
      <c r="R783" s="15"/>
      <c r="S783" s="15"/>
      <c r="T783" s="15"/>
      <c r="U783" s="16"/>
    </row>
    <row r="784">
      <c r="A784" s="7"/>
      <c r="B784" s="8">
        <v>337.0</v>
      </c>
      <c r="C784" s="14" t="s">
        <v>2084</v>
      </c>
      <c r="D784" s="7" t="s">
        <v>307</v>
      </c>
      <c r="E784" s="11"/>
      <c r="F784" s="8" t="s">
        <v>2085</v>
      </c>
      <c r="G784" s="8">
        <v>2012.0</v>
      </c>
      <c r="H784" s="8"/>
      <c r="I784" s="8"/>
      <c r="J784" s="8"/>
      <c r="K784" s="16"/>
      <c r="L784" s="13"/>
      <c r="M784" s="15"/>
      <c r="N784" s="15"/>
      <c r="O784" s="15"/>
      <c r="P784" s="15"/>
      <c r="Q784" s="15"/>
      <c r="R784" s="15"/>
      <c r="S784" s="15"/>
      <c r="T784" s="15"/>
      <c r="U784" s="16"/>
    </row>
    <row r="785">
      <c r="A785" s="7"/>
      <c r="B785" s="8">
        <v>338.0</v>
      </c>
      <c r="C785" s="14" t="s">
        <v>2086</v>
      </c>
      <c r="D785" s="7" t="s">
        <v>45</v>
      </c>
      <c r="E785" s="11"/>
      <c r="F785" s="8" t="s">
        <v>2087</v>
      </c>
      <c r="G785" s="8">
        <v>2017.0</v>
      </c>
      <c r="H785" s="8"/>
      <c r="I785" s="8"/>
      <c r="J785" s="8"/>
      <c r="K785" s="16"/>
      <c r="L785" s="13"/>
      <c r="M785" s="15"/>
      <c r="N785" s="15"/>
      <c r="O785" s="15"/>
      <c r="P785" s="15"/>
      <c r="Q785" s="15"/>
      <c r="R785" s="15"/>
      <c r="S785" s="15"/>
      <c r="T785" s="15"/>
      <c r="U785" s="16"/>
    </row>
    <row r="786">
      <c r="A786" s="7"/>
      <c r="B786" s="8">
        <v>339.0</v>
      </c>
      <c r="C786" s="14" t="s">
        <v>2088</v>
      </c>
      <c r="D786" s="7" t="s">
        <v>1154</v>
      </c>
      <c r="E786" s="11"/>
      <c r="F786" s="8" t="s">
        <v>1267</v>
      </c>
      <c r="G786" s="8">
        <v>2011.0</v>
      </c>
      <c r="H786" s="8"/>
      <c r="I786" s="8"/>
      <c r="J786" s="8"/>
      <c r="K786" s="16"/>
      <c r="L786" s="13"/>
      <c r="M786" s="15"/>
      <c r="N786" s="15"/>
      <c r="O786" s="15"/>
      <c r="P786" s="15"/>
      <c r="Q786" s="15"/>
      <c r="R786" s="15"/>
      <c r="S786" s="15"/>
      <c r="T786" s="15"/>
      <c r="U786" s="16"/>
    </row>
    <row r="787">
      <c r="A787" s="7"/>
      <c r="B787" s="8">
        <v>340.0</v>
      </c>
      <c r="C787" s="14" t="s">
        <v>2089</v>
      </c>
      <c r="D787" s="7" t="s">
        <v>1154</v>
      </c>
      <c r="E787" s="11"/>
      <c r="F787" s="8" t="s">
        <v>2090</v>
      </c>
      <c r="G787" s="8">
        <v>2012.0</v>
      </c>
      <c r="H787" s="8"/>
      <c r="I787" s="8"/>
      <c r="J787" s="8"/>
      <c r="K787" s="16"/>
      <c r="L787" s="13"/>
      <c r="M787" s="15"/>
      <c r="N787" s="15"/>
      <c r="O787" s="15"/>
      <c r="P787" s="15"/>
      <c r="Q787" s="15"/>
      <c r="R787" s="15"/>
      <c r="S787" s="15"/>
      <c r="T787" s="15"/>
      <c r="U787" s="16"/>
    </row>
    <row r="788">
      <c r="A788" s="7"/>
      <c r="B788" s="8">
        <v>341.0</v>
      </c>
      <c r="C788" s="14" t="s">
        <v>2091</v>
      </c>
      <c r="D788" s="7" t="s">
        <v>307</v>
      </c>
      <c r="E788" s="11"/>
      <c r="F788" s="8" t="s">
        <v>809</v>
      </c>
      <c r="G788" s="8">
        <v>2005.0</v>
      </c>
      <c r="H788" s="8"/>
      <c r="I788" s="8"/>
      <c r="J788" s="8"/>
      <c r="K788" s="16"/>
      <c r="L788" s="13"/>
      <c r="M788" s="15"/>
      <c r="N788" s="15"/>
      <c r="O788" s="15"/>
      <c r="P788" s="15"/>
      <c r="Q788" s="15"/>
      <c r="R788" s="15"/>
      <c r="S788" s="15"/>
      <c r="T788" s="15"/>
      <c r="U788" s="16"/>
    </row>
    <row r="789">
      <c r="A789" s="7"/>
      <c r="B789" s="8">
        <v>342.0</v>
      </c>
      <c r="C789" s="14" t="s">
        <v>2092</v>
      </c>
      <c r="D789" s="7" t="s">
        <v>2093</v>
      </c>
      <c r="E789" s="11"/>
      <c r="F789" s="8" t="s">
        <v>2094</v>
      </c>
      <c r="G789" s="8">
        <v>2016.0</v>
      </c>
      <c r="H789" s="8"/>
      <c r="I789" s="8"/>
      <c r="J789" s="8"/>
      <c r="K789" s="16"/>
      <c r="L789" s="13"/>
      <c r="M789" s="15"/>
      <c r="N789" s="15"/>
      <c r="O789" s="15"/>
      <c r="P789" s="15"/>
      <c r="Q789" s="15"/>
      <c r="R789" s="15"/>
      <c r="S789" s="15"/>
      <c r="T789" s="15"/>
      <c r="U789" s="16"/>
    </row>
    <row r="790">
      <c r="A790" s="270">
        <v>1.0</v>
      </c>
      <c r="B790" s="89">
        <v>343.0</v>
      </c>
      <c r="C790" s="87" t="s">
        <v>2095</v>
      </c>
      <c r="D790" s="88" t="s">
        <v>48</v>
      </c>
      <c r="E790" s="88" t="s">
        <v>32</v>
      </c>
      <c r="F790" s="89" t="s">
        <v>2096</v>
      </c>
      <c r="G790" s="89">
        <v>2018.0</v>
      </c>
      <c r="H790" s="89">
        <v>1.0</v>
      </c>
      <c r="I790" s="89">
        <v>2.0</v>
      </c>
      <c r="J790" s="89" t="s">
        <v>642</v>
      </c>
      <c r="K790" s="91" t="s">
        <v>2097</v>
      </c>
      <c r="L790" s="91" t="s">
        <v>2098</v>
      </c>
      <c r="M790" s="90" t="s">
        <v>2099</v>
      </c>
      <c r="N790" s="90" t="s">
        <v>119</v>
      </c>
      <c r="O790" s="92"/>
      <c r="P790" s="92"/>
      <c r="Q790" s="92"/>
      <c r="R790" s="92">
        <f>TDIST(2.59,396,2)</f>
        <v>0.009951625605</v>
      </c>
      <c r="S790" s="289">
        <f t="shared" ref="S790:S791" si="118">NORMINV(1-R790/2,0,1)</f>
        <v>2.577505648</v>
      </c>
      <c r="T790" s="289">
        <f t="shared" ref="T790:T791" si="119">NORMDIST(S790,1.96,1,TRUE)</f>
        <v>0.7315493714</v>
      </c>
      <c r="U790" s="93"/>
    </row>
    <row r="791">
      <c r="A791" s="275"/>
      <c r="B791" s="75">
        <v>343.0</v>
      </c>
      <c r="C791" s="75"/>
      <c r="D791" s="76"/>
      <c r="E791" s="76"/>
      <c r="F791" s="75"/>
      <c r="G791" s="75"/>
      <c r="H791" s="75">
        <v>1.0</v>
      </c>
      <c r="I791" s="75">
        <v>2.0</v>
      </c>
      <c r="J791" s="75" t="s">
        <v>644</v>
      </c>
      <c r="K791" s="78" t="s">
        <v>2100</v>
      </c>
      <c r="L791" s="78" t="s">
        <v>2101</v>
      </c>
      <c r="M791" s="77" t="s">
        <v>2102</v>
      </c>
      <c r="N791" s="77" t="s">
        <v>128</v>
      </c>
      <c r="O791" s="80"/>
      <c r="P791" s="80"/>
      <c r="Q791" s="80"/>
      <c r="R791" s="80">
        <f>TDIST(3.68,396,2)</f>
        <v>0.0002655150312</v>
      </c>
      <c r="S791" s="305">
        <f t="shared" si="118"/>
        <v>3.646811035</v>
      </c>
      <c r="T791" s="305">
        <f t="shared" si="119"/>
        <v>0.9541801535</v>
      </c>
      <c r="U791" s="81"/>
    </row>
    <row r="792">
      <c r="A792" s="7"/>
      <c r="B792" s="8">
        <v>344.0</v>
      </c>
      <c r="C792" s="14" t="s">
        <v>2103</v>
      </c>
      <c r="D792" s="7" t="s">
        <v>2104</v>
      </c>
      <c r="E792" s="11"/>
      <c r="F792" s="8" t="s">
        <v>2105</v>
      </c>
      <c r="G792" s="8">
        <v>2004.0</v>
      </c>
      <c r="H792" s="8"/>
      <c r="I792" s="8"/>
      <c r="J792" s="8"/>
      <c r="K792" s="16"/>
      <c r="L792" s="13"/>
      <c r="M792" s="15"/>
      <c r="N792" s="15"/>
      <c r="O792" s="15"/>
      <c r="P792" s="15"/>
      <c r="Q792" s="15"/>
      <c r="R792" s="15"/>
      <c r="S792" s="15"/>
      <c r="T792" s="15"/>
      <c r="U792" s="16"/>
    </row>
    <row r="793">
      <c r="A793" s="270">
        <v>1.0</v>
      </c>
      <c r="B793" s="89">
        <v>345.0</v>
      </c>
      <c r="C793" s="87" t="s">
        <v>2106</v>
      </c>
      <c r="D793" s="88" t="s">
        <v>48</v>
      </c>
      <c r="E793" s="88" t="s">
        <v>32</v>
      </c>
      <c r="F793" s="89" t="s">
        <v>1875</v>
      </c>
      <c r="G793" s="89">
        <v>2007.0</v>
      </c>
      <c r="H793" s="89">
        <v>1.0</v>
      </c>
      <c r="I793" s="89">
        <v>1.0</v>
      </c>
      <c r="J793" s="89">
        <v>1.0</v>
      </c>
      <c r="K793" s="91" t="s">
        <v>2107</v>
      </c>
      <c r="L793" s="89" t="s">
        <v>2108</v>
      </c>
      <c r="M793" s="90" t="s">
        <v>2109</v>
      </c>
      <c r="N793" s="90" t="s">
        <v>2110</v>
      </c>
      <c r="O793" s="92"/>
      <c r="P793" s="90" t="s">
        <v>463</v>
      </c>
      <c r="Q793" s="92"/>
      <c r="R793" s="92">
        <f>FDIST(8.44,2,72)</f>
        <v>0.0005093592741</v>
      </c>
      <c r="S793" s="289">
        <f t="shared" ref="S793:S801" si="120">NORMINV(1-R793/2,0,1)</f>
        <v>3.475785619</v>
      </c>
      <c r="T793" s="289">
        <f t="shared" ref="T793:T801" si="121">NORMDIST(S793,1.96,1,TRUE)</f>
        <v>0.9352132152</v>
      </c>
      <c r="U793" s="93"/>
    </row>
    <row r="794">
      <c r="A794" s="271"/>
      <c r="B794" s="43">
        <v>345.0</v>
      </c>
      <c r="C794" s="43"/>
      <c r="D794" s="41"/>
      <c r="E794" s="41"/>
      <c r="F794" s="43"/>
      <c r="G794" s="43"/>
      <c r="H794" s="43">
        <v>1.0</v>
      </c>
      <c r="I794" s="43">
        <v>1.0</v>
      </c>
      <c r="J794" s="43">
        <v>2.0</v>
      </c>
      <c r="K794" s="43" t="s">
        <v>2111</v>
      </c>
      <c r="L794" s="45" t="s">
        <v>2112</v>
      </c>
      <c r="M794" s="44" t="s">
        <v>2113</v>
      </c>
      <c r="N794" s="44" t="s">
        <v>2110</v>
      </c>
      <c r="O794" s="47"/>
      <c r="P794" s="44" t="s">
        <v>2114</v>
      </c>
      <c r="Q794" s="47"/>
      <c r="R794" s="47">
        <f>FDIST(8.05,2,72)</f>
        <v>0.0006995796514</v>
      </c>
      <c r="S794" s="298">
        <f t="shared" si="120"/>
        <v>3.389743821</v>
      </c>
      <c r="T794" s="298">
        <f t="shared" si="121"/>
        <v>0.9236047208</v>
      </c>
      <c r="U794" s="50"/>
    </row>
    <row r="795">
      <c r="A795" s="271"/>
      <c r="B795" s="43">
        <v>345.0</v>
      </c>
      <c r="C795" s="43"/>
      <c r="D795" s="41"/>
      <c r="E795" s="41"/>
      <c r="F795" s="43"/>
      <c r="G795" s="43"/>
      <c r="H795" s="43">
        <v>1.0</v>
      </c>
      <c r="I795" s="43">
        <v>1.0</v>
      </c>
      <c r="J795" s="43">
        <v>3.0</v>
      </c>
      <c r="K795" s="45" t="s">
        <v>2115</v>
      </c>
      <c r="L795" s="45" t="s">
        <v>2116</v>
      </c>
      <c r="M795" s="44" t="s">
        <v>2117</v>
      </c>
      <c r="N795" s="44" t="s">
        <v>119</v>
      </c>
      <c r="O795" s="47"/>
      <c r="P795" s="44" t="s">
        <v>2118</v>
      </c>
      <c r="Q795" s="47"/>
      <c r="R795" s="47">
        <f>FDIST(5.71,2,72)</f>
        <v>0.004991639275</v>
      </c>
      <c r="S795" s="298">
        <f t="shared" si="120"/>
        <v>2.807572822</v>
      </c>
      <c r="T795" s="298">
        <f t="shared" si="121"/>
        <v>0.8016620423</v>
      </c>
      <c r="U795" s="50"/>
    </row>
    <row r="796">
      <c r="A796" s="271">
        <v>1.0</v>
      </c>
      <c r="B796" s="43">
        <v>345.0</v>
      </c>
      <c r="C796" s="43"/>
      <c r="D796" s="41"/>
      <c r="E796" s="94"/>
      <c r="F796" s="43"/>
      <c r="G796" s="43"/>
      <c r="H796" s="43">
        <v>2.0</v>
      </c>
      <c r="I796" s="43">
        <v>2.0</v>
      </c>
      <c r="J796" s="43">
        <v>1.0</v>
      </c>
      <c r="K796" s="45" t="s">
        <v>2119</v>
      </c>
      <c r="L796" s="45" t="s">
        <v>2120</v>
      </c>
      <c r="M796" s="44" t="s">
        <v>2121</v>
      </c>
      <c r="N796" s="44" t="s">
        <v>2110</v>
      </c>
      <c r="O796" s="47"/>
      <c r="P796" s="44" t="s">
        <v>2060</v>
      </c>
      <c r="Q796" s="47"/>
      <c r="R796" s="47">
        <f>FDIST(8.37,2,69)</f>
        <v>0.0005564979885</v>
      </c>
      <c r="S796" s="298">
        <f t="shared" si="120"/>
        <v>3.451975625</v>
      </c>
      <c r="T796" s="298">
        <f t="shared" si="121"/>
        <v>0.9321472323</v>
      </c>
      <c r="U796" s="50"/>
    </row>
    <row r="797">
      <c r="A797" s="271"/>
      <c r="B797" s="43">
        <v>345.0</v>
      </c>
      <c r="C797" s="43"/>
      <c r="D797" s="41"/>
      <c r="E797" s="94"/>
      <c r="F797" s="43"/>
      <c r="G797" s="43"/>
      <c r="H797" s="43">
        <v>2.0</v>
      </c>
      <c r="I797" s="43">
        <v>2.0</v>
      </c>
      <c r="J797" s="43">
        <v>2.0</v>
      </c>
      <c r="K797" s="45"/>
      <c r="L797" s="45" t="s">
        <v>2122</v>
      </c>
      <c r="M797" s="44" t="s">
        <v>2123</v>
      </c>
      <c r="N797" s="44" t="s">
        <v>2110</v>
      </c>
      <c r="O797" s="47"/>
      <c r="P797" s="44" t="s">
        <v>2124</v>
      </c>
      <c r="Q797" s="47"/>
      <c r="R797" s="47">
        <f>FDIST(6.35,2,69)</f>
        <v>0.002941932338</v>
      </c>
      <c r="S797" s="298">
        <f t="shared" si="120"/>
        <v>2.973741048</v>
      </c>
      <c r="T797" s="298">
        <f t="shared" si="121"/>
        <v>0.8446468341</v>
      </c>
      <c r="U797" s="50"/>
    </row>
    <row r="798">
      <c r="A798" s="271"/>
      <c r="B798" s="43">
        <v>345.0</v>
      </c>
      <c r="C798" s="43"/>
      <c r="D798" s="41"/>
      <c r="E798" s="94"/>
      <c r="F798" s="43"/>
      <c r="G798" s="43"/>
      <c r="H798" s="43">
        <v>2.0</v>
      </c>
      <c r="I798" s="43">
        <v>2.0</v>
      </c>
      <c r="J798" s="43">
        <v>3.0</v>
      </c>
      <c r="K798" s="45"/>
      <c r="L798" s="45" t="s">
        <v>2125</v>
      </c>
      <c r="M798" s="44" t="s">
        <v>2126</v>
      </c>
      <c r="N798" s="44" t="s">
        <v>169</v>
      </c>
      <c r="O798" s="47"/>
      <c r="P798" s="44" t="s">
        <v>1683</v>
      </c>
      <c r="Q798" s="47"/>
      <c r="R798" s="47">
        <f>FDIST(3.7,2,69)</f>
        <v>0.02975587733</v>
      </c>
      <c r="S798" s="298">
        <f t="shared" si="120"/>
        <v>2.173324836</v>
      </c>
      <c r="T798" s="298">
        <f t="shared" si="121"/>
        <v>0.5844631986</v>
      </c>
      <c r="U798" s="50"/>
    </row>
    <row r="799">
      <c r="A799" s="271">
        <v>1.0</v>
      </c>
      <c r="B799" s="43">
        <v>345.0</v>
      </c>
      <c r="C799" s="43"/>
      <c r="D799" s="41"/>
      <c r="E799" s="94"/>
      <c r="F799" s="43"/>
      <c r="G799" s="43"/>
      <c r="H799" s="43">
        <v>3.0</v>
      </c>
      <c r="I799" s="43">
        <v>3.0</v>
      </c>
      <c r="J799" s="43">
        <v>1.0</v>
      </c>
      <c r="K799" s="45" t="s">
        <v>2127</v>
      </c>
      <c r="L799" s="45" t="s">
        <v>2128</v>
      </c>
      <c r="M799" s="44" t="s">
        <v>2129</v>
      </c>
      <c r="N799" s="44" t="s">
        <v>119</v>
      </c>
      <c r="O799" s="47"/>
      <c r="P799" s="44" t="s">
        <v>2124</v>
      </c>
      <c r="Q799" s="47"/>
      <c r="R799" s="47">
        <f>FDIST(8.44,1,44)</f>
        <v>0.005724107549</v>
      </c>
      <c r="S799" s="298">
        <f t="shared" si="120"/>
        <v>2.763180654</v>
      </c>
      <c r="T799" s="298">
        <f t="shared" si="121"/>
        <v>0.7890648372</v>
      </c>
      <c r="U799" s="50"/>
    </row>
    <row r="800">
      <c r="A800" s="271"/>
      <c r="B800" s="43">
        <v>345.0</v>
      </c>
      <c r="C800" s="43"/>
      <c r="D800" s="41"/>
      <c r="E800" s="94"/>
      <c r="F800" s="43"/>
      <c r="G800" s="43"/>
      <c r="H800" s="43">
        <v>3.0</v>
      </c>
      <c r="I800" s="43">
        <v>3.0</v>
      </c>
      <c r="J800" s="43">
        <v>2.0</v>
      </c>
      <c r="K800" s="45" t="s">
        <v>2130</v>
      </c>
      <c r="L800" s="45" t="s">
        <v>2131</v>
      </c>
      <c r="M800" s="44" t="s">
        <v>2132</v>
      </c>
      <c r="N800" s="44" t="s">
        <v>119</v>
      </c>
      <c r="O800" s="47"/>
      <c r="P800" s="44" t="s">
        <v>2118</v>
      </c>
      <c r="Q800" s="47"/>
      <c r="R800" s="47">
        <f>FDIST(7.22,1,44)</f>
        <v>0.01013617036</v>
      </c>
      <c r="S800" s="298">
        <f t="shared" si="120"/>
        <v>2.571149012</v>
      </c>
      <c r="T800" s="298">
        <f t="shared" si="121"/>
        <v>0.7294495326</v>
      </c>
      <c r="U800" s="50"/>
    </row>
    <row r="801">
      <c r="A801" s="275"/>
      <c r="B801" s="75">
        <v>345.0</v>
      </c>
      <c r="C801" s="75"/>
      <c r="D801" s="76"/>
      <c r="E801" s="95"/>
      <c r="F801" s="75"/>
      <c r="G801" s="75"/>
      <c r="H801" s="75">
        <v>3.0</v>
      </c>
      <c r="I801" s="75">
        <v>3.0</v>
      </c>
      <c r="J801" s="75">
        <v>3.0</v>
      </c>
      <c r="K801" s="78" t="s">
        <v>2133</v>
      </c>
      <c r="L801" s="78" t="s">
        <v>2134</v>
      </c>
      <c r="M801" s="77" t="s">
        <v>2135</v>
      </c>
      <c r="N801" s="77" t="s">
        <v>1443</v>
      </c>
      <c r="O801" s="80"/>
      <c r="P801" s="77" t="s">
        <v>1443</v>
      </c>
      <c r="Q801" s="80"/>
      <c r="R801" s="80">
        <f>FDIST(1.362,1,44)</f>
        <v>0.2494772202</v>
      </c>
      <c r="S801" s="305">
        <f t="shared" si="120"/>
        <v>1.151620095</v>
      </c>
      <c r="T801" s="305">
        <f t="shared" si="121"/>
        <v>0.2094359582</v>
      </c>
      <c r="U801" s="81"/>
    </row>
    <row r="802">
      <c r="A802" s="7"/>
      <c r="B802" s="8"/>
      <c r="C802" s="8"/>
      <c r="D802" s="7"/>
      <c r="E802" s="11"/>
      <c r="F802" s="8"/>
      <c r="G802" s="8"/>
      <c r="H802" s="8"/>
      <c r="I802" s="8"/>
      <c r="J802" s="8"/>
      <c r="K802" s="16"/>
      <c r="L802" s="13"/>
      <c r="M802" s="15"/>
      <c r="N802" s="15"/>
      <c r="O802" s="15"/>
      <c r="P802" s="15"/>
      <c r="Q802" s="15"/>
      <c r="R802" s="15"/>
      <c r="S802" s="15"/>
      <c r="T802" s="15"/>
      <c r="U802" s="16"/>
    </row>
    <row r="803">
      <c r="A803" s="7"/>
      <c r="B803" s="8">
        <v>346.0</v>
      </c>
      <c r="C803" s="14" t="s">
        <v>2136</v>
      </c>
      <c r="D803" s="7" t="s">
        <v>307</v>
      </c>
      <c r="E803" s="11"/>
      <c r="F803" s="8" t="s">
        <v>1994</v>
      </c>
      <c r="G803" s="8">
        <v>2005.0</v>
      </c>
      <c r="H803" s="8"/>
      <c r="I803" s="8"/>
      <c r="J803" s="8"/>
      <c r="K803" s="16"/>
      <c r="L803" s="13"/>
      <c r="M803" s="15"/>
      <c r="N803" s="15"/>
      <c r="O803" s="15"/>
      <c r="P803" s="15"/>
      <c r="Q803" s="15"/>
      <c r="R803" s="15"/>
      <c r="S803" s="15"/>
      <c r="T803" s="15"/>
      <c r="U803" s="16"/>
    </row>
    <row r="804">
      <c r="A804" s="7"/>
      <c r="B804" s="8">
        <v>347.0</v>
      </c>
      <c r="C804" s="14" t="s">
        <v>2137</v>
      </c>
      <c r="D804" s="7" t="s">
        <v>2138</v>
      </c>
      <c r="E804" s="11"/>
      <c r="F804" s="8" t="s">
        <v>2139</v>
      </c>
      <c r="G804" s="8">
        <v>2003.0</v>
      </c>
      <c r="H804" s="8"/>
      <c r="I804" s="8"/>
      <c r="J804" s="8"/>
      <c r="K804" s="16"/>
      <c r="L804" s="13"/>
      <c r="M804" s="15"/>
      <c r="N804" s="15"/>
      <c r="O804" s="15"/>
      <c r="P804" s="15"/>
      <c r="Q804" s="15"/>
      <c r="R804" s="15"/>
      <c r="S804" s="15"/>
      <c r="T804" s="15"/>
      <c r="U804" s="16"/>
    </row>
    <row r="805">
      <c r="A805" s="7"/>
      <c r="B805" s="8">
        <v>348.0</v>
      </c>
      <c r="C805" s="14" t="s">
        <v>2140</v>
      </c>
      <c r="D805" s="7" t="s">
        <v>307</v>
      </c>
      <c r="E805" s="11"/>
      <c r="F805" s="8" t="s">
        <v>2141</v>
      </c>
      <c r="G805" s="8">
        <v>2014.0</v>
      </c>
      <c r="H805" s="8"/>
      <c r="I805" s="8"/>
      <c r="J805" s="8"/>
      <c r="K805" s="16"/>
      <c r="L805" s="13"/>
      <c r="M805" s="15"/>
      <c r="N805" s="15"/>
      <c r="O805" s="15"/>
      <c r="P805" s="15"/>
      <c r="Q805" s="15"/>
      <c r="R805" s="15"/>
      <c r="S805" s="15"/>
      <c r="T805" s="15"/>
      <c r="U805" s="16"/>
    </row>
    <row r="806">
      <c r="A806" s="270">
        <v>1.0</v>
      </c>
      <c r="B806" s="89">
        <v>349.0</v>
      </c>
      <c r="C806" s="87" t="s">
        <v>2142</v>
      </c>
      <c r="D806" s="88" t="s">
        <v>2143</v>
      </c>
      <c r="E806" s="88" t="s">
        <v>32</v>
      </c>
      <c r="F806" s="89" t="s">
        <v>2144</v>
      </c>
      <c r="G806" s="89">
        <v>2013.0</v>
      </c>
      <c r="H806" s="89">
        <v>1.0</v>
      </c>
      <c r="I806" s="89">
        <v>1.0</v>
      </c>
      <c r="J806" s="89">
        <v>1.0</v>
      </c>
      <c r="K806" s="91" t="s">
        <v>2145</v>
      </c>
      <c r="L806" s="91" t="s">
        <v>2146</v>
      </c>
      <c r="M806" s="90" t="s">
        <v>2147</v>
      </c>
      <c r="N806" s="90" t="s">
        <v>119</v>
      </c>
      <c r="O806" s="92"/>
      <c r="P806" s="92"/>
      <c r="Q806" s="92"/>
      <c r="R806" s="92"/>
      <c r="S806" s="92"/>
      <c r="T806" s="92"/>
      <c r="U806" s="93"/>
    </row>
    <row r="807">
      <c r="A807" s="271"/>
      <c r="B807" s="43">
        <v>349.0</v>
      </c>
      <c r="C807" s="43"/>
      <c r="D807" s="41"/>
      <c r="E807" s="94"/>
      <c r="F807" s="43"/>
      <c r="G807" s="43"/>
      <c r="H807" s="43">
        <v>1.0</v>
      </c>
      <c r="I807" s="43">
        <v>1.0</v>
      </c>
      <c r="J807" s="43">
        <v>2.0</v>
      </c>
      <c r="K807" s="45" t="s">
        <v>2148</v>
      </c>
      <c r="L807" s="45" t="s">
        <v>2149</v>
      </c>
      <c r="M807" s="44" t="s">
        <v>2150</v>
      </c>
      <c r="N807" s="44" t="s">
        <v>119</v>
      </c>
      <c r="O807" s="47"/>
      <c r="P807" s="47"/>
      <c r="Q807" s="47"/>
      <c r="R807" s="47"/>
      <c r="S807" s="47"/>
      <c r="T807" s="47"/>
      <c r="U807" s="50"/>
    </row>
    <row r="808">
      <c r="A808" s="271"/>
      <c r="B808" s="43">
        <v>349.0</v>
      </c>
      <c r="C808" s="43"/>
      <c r="D808" s="41"/>
      <c r="E808" s="94"/>
      <c r="F808" s="43"/>
      <c r="G808" s="43"/>
      <c r="H808" s="43">
        <v>1.0</v>
      </c>
      <c r="I808" s="43">
        <v>1.0</v>
      </c>
      <c r="J808" s="43">
        <v>3.0</v>
      </c>
      <c r="K808" s="45" t="s">
        <v>2151</v>
      </c>
      <c r="L808" s="45" t="s">
        <v>2152</v>
      </c>
      <c r="M808" s="44" t="s">
        <v>2153</v>
      </c>
      <c r="N808" s="44" t="s">
        <v>119</v>
      </c>
      <c r="O808" s="47"/>
      <c r="P808" s="47"/>
      <c r="Q808" s="47"/>
      <c r="R808" s="47"/>
      <c r="S808" s="47"/>
      <c r="T808" s="47"/>
      <c r="U808" s="50"/>
    </row>
    <row r="809">
      <c r="A809" s="275"/>
      <c r="B809" s="75">
        <v>349.0</v>
      </c>
      <c r="C809" s="75"/>
      <c r="D809" s="76"/>
      <c r="E809" s="95"/>
      <c r="F809" s="75"/>
      <c r="G809" s="75"/>
      <c r="H809" s="75">
        <v>1.0</v>
      </c>
      <c r="I809" s="75">
        <v>1.0</v>
      </c>
      <c r="J809" s="75">
        <v>3.0</v>
      </c>
      <c r="K809" s="78"/>
      <c r="L809" s="78" t="s">
        <v>2154</v>
      </c>
      <c r="M809" s="77" t="s">
        <v>2155</v>
      </c>
      <c r="N809" s="77" t="s">
        <v>119</v>
      </c>
      <c r="O809" s="80"/>
      <c r="P809" s="80"/>
      <c r="Q809" s="80"/>
      <c r="R809" s="80"/>
      <c r="S809" s="80"/>
      <c r="T809" s="80"/>
      <c r="U809" s="81"/>
    </row>
    <row r="810">
      <c r="A810" s="7"/>
      <c r="B810" s="8">
        <v>350.0</v>
      </c>
      <c r="C810" s="14" t="s">
        <v>2156</v>
      </c>
      <c r="D810" s="7" t="s">
        <v>2157</v>
      </c>
      <c r="E810" s="11"/>
      <c r="F810" s="8" t="s">
        <v>2158</v>
      </c>
      <c r="G810" s="8">
        <v>2009.0</v>
      </c>
      <c r="H810" s="8"/>
      <c r="I810" s="8"/>
      <c r="J810" s="8"/>
      <c r="K810" s="16"/>
      <c r="L810" s="13"/>
      <c r="M810" s="15"/>
      <c r="N810" s="15"/>
      <c r="O810" s="15"/>
      <c r="P810" s="15"/>
      <c r="Q810" s="15"/>
      <c r="R810" s="15"/>
      <c r="S810" s="15"/>
      <c r="T810" s="15"/>
      <c r="U810" s="16"/>
    </row>
    <row r="811">
      <c r="A811" s="7"/>
      <c r="B811" s="8">
        <v>351.0</v>
      </c>
      <c r="C811" s="14" t="s">
        <v>2159</v>
      </c>
      <c r="D811" s="7" t="s">
        <v>307</v>
      </c>
      <c r="E811" s="11"/>
      <c r="F811" s="8" t="s">
        <v>2160</v>
      </c>
      <c r="G811" s="8">
        <v>2016.0</v>
      </c>
      <c r="H811" s="8"/>
      <c r="I811" s="8"/>
      <c r="J811" s="8"/>
      <c r="K811" s="16"/>
      <c r="L811" s="13"/>
      <c r="M811" s="15"/>
      <c r="N811" s="15"/>
      <c r="O811" s="15"/>
      <c r="P811" s="15"/>
      <c r="Q811" s="15"/>
      <c r="R811" s="15"/>
      <c r="S811" s="15"/>
      <c r="T811" s="15"/>
      <c r="U811" s="16"/>
    </row>
    <row r="812">
      <c r="A812" s="7"/>
      <c r="B812" s="8">
        <v>352.0</v>
      </c>
      <c r="C812" s="14" t="s">
        <v>2161</v>
      </c>
      <c r="D812" s="115" t="s">
        <v>307</v>
      </c>
      <c r="E812" s="11"/>
      <c r="F812" s="8" t="s">
        <v>2162</v>
      </c>
      <c r="G812" s="8">
        <v>2018.0</v>
      </c>
      <c r="H812" s="8"/>
      <c r="I812" s="8"/>
      <c r="J812" s="8"/>
      <c r="K812" s="16"/>
      <c r="L812" s="13"/>
      <c r="M812" s="15"/>
      <c r="N812" s="15"/>
      <c r="O812" s="15"/>
      <c r="P812" s="15"/>
      <c r="Q812" s="15"/>
      <c r="R812" s="15"/>
      <c r="S812" s="15"/>
      <c r="T812" s="15"/>
      <c r="U812" s="16"/>
    </row>
    <row r="813">
      <c r="A813" s="7"/>
      <c r="B813" s="8">
        <v>353.0</v>
      </c>
      <c r="C813" s="14" t="s">
        <v>2163</v>
      </c>
      <c r="D813" s="7" t="s">
        <v>307</v>
      </c>
      <c r="E813" s="11"/>
      <c r="F813" s="8" t="s">
        <v>2164</v>
      </c>
      <c r="G813" s="8">
        <v>2005.0</v>
      </c>
      <c r="H813" s="8"/>
      <c r="I813" s="8"/>
      <c r="J813" s="8"/>
      <c r="K813" s="16"/>
      <c r="L813" s="13"/>
      <c r="M813" s="15"/>
      <c r="N813" s="15"/>
      <c r="O813" s="15"/>
      <c r="P813" s="15"/>
      <c r="Q813" s="15"/>
      <c r="R813" s="15"/>
      <c r="S813" s="15"/>
      <c r="T813" s="15"/>
      <c r="U813" s="16"/>
    </row>
    <row r="814">
      <c r="A814" s="7"/>
      <c r="B814" s="8">
        <v>354.0</v>
      </c>
      <c r="C814" s="14" t="s">
        <v>2165</v>
      </c>
      <c r="D814" s="7" t="s">
        <v>2166</v>
      </c>
      <c r="E814" s="7" t="s">
        <v>32</v>
      </c>
      <c r="F814" s="8" t="s">
        <v>2167</v>
      </c>
      <c r="G814" s="8">
        <v>2005.0</v>
      </c>
      <c r="H814" s="8"/>
      <c r="I814" s="8"/>
      <c r="J814" s="8"/>
      <c r="K814" s="16"/>
      <c r="L814" s="13"/>
      <c r="M814" s="15"/>
      <c r="N814" s="15"/>
      <c r="O814" s="15"/>
      <c r="P814" s="15"/>
      <c r="Q814" s="15"/>
      <c r="R814" s="15"/>
      <c r="S814" s="15"/>
      <c r="T814" s="15"/>
      <c r="U814" s="16"/>
    </row>
    <row r="815">
      <c r="A815" s="7"/>
      <c r="B815" s="8">
        <v>355.0</v>
      </c>
      <c r="C815" s="14" t="s">
        <v>2168</v>
      </c>
      <c r="D815" s="7" t="s">
        <v>307</v>
      </c>
      <c r="E815" s="11"/>
      <c r="F815" s="8" t="s">
        <v>2169</v>
      </c>
      <c r="G815" s="8">
        <v>2005.0</v>
      </c>
      <c r="H815" s="8"/>
      <c r="I815" s="8"/>
      <c r="J815" s="8"/>
      <c r="K815" s="16"/>
      <c r="L815" s="13"/>
      <c r="M815" s="15"/>
      <c r="N815" s="15"/>
      <c r="O815" s="15"/>
      <c r="P815" s="15"/>
      <c r="Q815" s="15"/>
      <c r="R815" s="15"/>
      <c r="S815" s="15"/>
      <c r="T815" s="15"/>
      <c r="U815" s="16"/>
    </row>
    <row r="816">
      <c r="A816" s="7"/>
      <c r="B816" s="8">
        <v>356.0</v>
      </c>
      <c r="C816" s="14" t="s">
        <v>2170</v>
      </c>
      <c r="D816" s="7" t="s">
        <v>31</v>
      </c>
      <c r="E816" s="11"/>
      <c r="F816" s="8" t="s">
        <v>2171</v>
      </c>
      <c r="G816" s="8">
        <v>2016.0</v>
      </c>
      <c r="H816" s="8"/>
      <c r="I816" s="8"/>
      <c r="J816" s="8"/>
      <c r="K816" s="16"/>
      <c r="L816" s="13"/>
      <c r="M816" s="15"/>
      <c r="N816" s="15"/>
      <c r="O816" s="15"/>
      <c r="P816" s="15"/>
      <c r="Q816" s="15"/>
      <c r="R816" s="15"/>
      <c r="S816" s="15"/>
      <c r="T816" s="15"/>
      <c r="U816" s="16"/>
    </row>
    <row r="817">
      <c r="A817" s="310">
        <v>1.0</v>
      </c>
      <c r="B817" s="213">
        <v>357.0</v>
      </c>
      <c r="C817" s="211" t="s">
        <v>2172</v>
      </c>
      <c r="D817" s="212" t="s">
        <v>48</v>
      </c>
      <c r="E817" s="212" t="s">
        <v>32</v>
      </c>
      <c r="F817" s="213" t="s">
        <v>2173</v>
      </c>
      <c r="G817" s="213">
        <v>2004.0</v>
      </c>
      <c r="H817" s="213">
        <v>1.0</v>
      </c>
      <c r="I817" s="213">
        <v>1.0</v>
      </c>
      <c r="J817" s="213">
        <v>1.0</v>
      </c>
      <c r="K817" s="215" t="s">
        <v>2174</v>
      </c>
      <c r="L817" s="215" t="s">
        <v>2175</v>
      </c>
      <c r="M817" s="214" t="s">
        <v>2176</v>
      </c>
      <c r="N817" s="214" t="s">
        <v>119</v>
      </c>
      <c r="O817" s="214" t="s">
        <v>2177</v>
      </c>
      <c r="P817" s="216"/>
      <c r="Q817" s="216"/>
      <c r="R817" s="216">
        <f>FDIST(3.84,4,226)</f>
        <v>0.004857638621</v>
      </c>
      <c r="S817" s="311">
        <f t="shared" ref="S817:S820" si="122">NORMINV(1-R817/2,0,1)</f>
        <v>2.816325749</v>
      </c>
      <c r="T817" s="311">
        <f t="shared" ref="T817:T820" si="123">NORMDIST(S817,1.96,1,TRUE)</f>
        <v>0.8040911886</v>
      </c>
      <c r="U817" s="217"/>
    </row>
    <row r="818">
      <c r="A818" s="271"/>
      <c r="B818" s="43">
        <v>357.0</v>
      </c>
      <c r="C818" s="43"/>
      <c r="D818" s="41"/>
      <c r="E818" s="94"/>
      <c r="F818" s="43"/>
      <c r="G818" s="43"/>
      <c r="H818" s="43"/>
      <c r="I818" s="43">
        <v>1.0</v>
      </c>
      <c r="J818" s="43" t="s">
        <v>642</v>
      </c>
      <c r="K818" s="45" t="s">
        <v>2178</v>
      </c>
      <c r="L818" s="45" t="s">
        <v>2179</v>
      </c>
      <c r="M818" s="44" t="s">
        <v>2180</v>
      </c>
      <c r="N818" s="44" t="s">
        <v>1443</v>
      </c>
      <c r="O818" s="47"/>
      <c r="P818" s="47"/>
      <c r="Q818" s="47"/>
      <c r="R818" s="47">
        <f>FDIST(0.87,1,114)</f>
        <v>0.3529265947</v>
      </c>
      <c r="S818" s="298">
        <f t="shared" si="122"/>
        <v>0.9289276263</v>
      </c>
      <c r="T818" s="298">
        <f t="shared" si="123"/>
        <v>0.1512534409</v>
      </c>
      <c r="U818" s="50"/>
    </row>
    <row r="819">
      <c r="A819" s="271"/>
      <c r="B819" s="43">
        <v>357.0</v>
      </c>
      <c r="C819" s="43"/>
      <c r="D819" s="41"/>
      <c r="E819" s="94"/>
      <c r="F819" s="43"/>
      <c r="G819" s="43"/>
      <c r="H819" s="43"/>
      <c r="I819" s="43">
        <v>1.0</v>
      </c>
      <c r="J819" s="43" t="s">
        <v>644</v>
      </c>
      <c r="K819" s="45" t="s">
        <v>2181</v>
      </c>
      <c r="L819" s="45" t="s">
        <v>2182</v>
      </c>
      <c r="M819" s="44" t="s">
        <v>2183</v>
      </c>
      <c r="N819" s="44" t="s">
        <v>128</v>
      </c>
      <c r="O819" s="44" t="s">
        <v>2184</v>
      </c>
      <c r="P819" s="47"/>
      <c r="Q819" s="47"/>
      <c r="R819" s="47">
        <f>FDIST(65.09,1,114)</f>
        <v>0</v>
      </c>
      <c r="S819" s="298">
        <f t="shared" si="122"/>
        <v>7.160732805</v>
      </c>
      <c r="T819" s="298">
        <f t="shared" si="123"/>
        <v>0.9999999007</v>
      </c>
      <c r="U819" s="50"/>
    </row>
    <row r="820">
      <c r="A820" s="275"/>
      <c r="B820" s="75">
        <v>357.0</v>
      </c>
      <c r="C820" s="75"/>
      <c r="D820" s="76"/>
      <c r="E820" s="95"/>
      <c r="F820" s="75"/>
      <c r="G820" s="75"/>
      <c r="H820" s="75"/>
      <c r="I820" s="75">
        <v>1.0</v>
      </c>
      <c r="J820" s="75" t="s">
        <v>1032</v>
      </c>
      <c r="K820" s="78" t="s">
        <v>2185</v>
      </c>
      <c r="L820" s="78" t="s">
        <v>2186</v>
      </c>
      <c r="M820" s="77" t="s">
        <v>2187</v>
      </c>
      <c r="N820" s="77" t="s">
        <v>119</v>
      </c>
      <c r="O820" s="80"/>
      <c r="P820" s="80"/>
      <c r="Q820" s="80"/>
      <c r="R820" s="80">
        <f>FDIST(6.09,1,114)</f>
        <v>0.01508038655</v>
      </c>
      <c r="S820" s="305">
        <f t="shared" si="122"/>
        <v>2.430442794</v>
      </c>
      <c r="T820" s="305">
        <f t="shared" si="123"/>
        <v>0.6809806519</v>
      </c>
      <c r="U820" s="81"/>
    </row>
    <row r="821">
      <c r="A821" s="7"/>
      <c r="B821" s="8">
        <v>358.0</v>
      </c>
      <c r="C821" s="14" t="s">
        <v>2188</v>
      </c>
      <c r="D821" s="7" t="s">
        <v>307</v>
      </c>
      <c r="E821" s="11"/>
      <c r="F821" s="8" t="s">
        <v>979</v>
      </c>
      <c r="G821" s="8">
        <v>2002.0</v>
      </c>
      <c r="H821" s="8"/>
      <c r="I821" s="8"/>
      <c r="J821" s="8"/>
      <c r="K821" s="16"/>
      <c r="L821" s="13"/>
      <c r="M821" s="15"/>
      <c r="N821" s="15"/>
      <c r="O821" s="15"/>
      <c r="P821" s="15"/>
      <c r="Q821" s="15"/>
      <c r="R821" s="15"/>
      <c r="S821" s="15"/>
      <c r="T821" s="15"/>
      <c r="U821" s="16"/>
    </row>
    <row r="822">
      <c r="A822" s="310">
        <v>1.0</v>
      </c>
      <c r="B822" s="213">
        <v>359.0</v>
      </c>
      <c r="C822" s="211" t="s">
        <v>2189</v>
      </c>
      <c r="D822" s="212" t="s">
        <v>48</v>
      </c>
      <c r="E822" s="212" t="s">
        <v>32</v>
      </c>
      <c r="F822" s="213" t="s">
        <v>809</v>
      </c>
      <c r="G822" s="213">
        <v>2009.0</v>
      </c>
      <c r="H822" s="213">
        <v>1.0</v>
      </c>
      <c r="I822" s="213">
        <v>1.0</v>
      </c>
      <c r="J822" s="213">
        <v>1.0</v>
      </c>
      <c r="K822" s="215" t="s">
        <v>2190</v>
      </c>
      <c r="L822" s="215" t="s">
        <v>2191</v>
      </c>
      <c r="M822" s="312" t="s">
        <v>2192</v>
      </c>
      <c r="N822" s="214" t="s">
        <v>119</v>
      </c>
      <c r="O822" s="216"/>
      <c r="P822" s="216"/>
      <c r="Q822" s="216"/>
      <c r="R822" s="216">
        <f>TDIST(5.3,18,1)</f>
        <v>0.00002436314053</v>
      </c>
      <c r="S822" s="311">
        <f t="shared" ref="S822:S827" si="124">NORMINV(1-R822/2,0,1)</f>
        <v>4.220619926</v>
      </c>
      <c r="T822" s="311">
        <f t="shared" ref="T822:T827" si="125">NORMDIST(S822,1.96,1,TRUE)</f>
        <v>0.9881085986</v>
      </c>
      <c r="U822" s="217"/>
    </row>
    <row r="823">
      <c r="A823" s="271"/>
      <c r="B823" s="43"/>
      <c r="C823" s="43"/>
      <c r="D823" s="41"/>
      <c r="E823" s="41"/>
      <c r="F823" s="43"/>
      <c r="G823" s="43"/>
      <c r="H823" s="43"/>
      <c r="I823" s="43">
        <v>1.0</v>
      </c>
      <c r="J823" s="43">
        <v>2.0</v>
      </c>
      <c r="K823" s="45" t="s">
        <v>2193</v>
      </c>
      <c r="L823" s="45" t="s">
        <v>2194</v>
      </c>
      <c r="M823" s="123" t="s">
        <v>2195</v>
      </c>
      <c r="N823" s="44" t="s">
        <v>119</v>
      </c>
      <c r="O823" s="47"/>
      <c r="P823" s="47"/>
      <c r="Q823" s="47"/>
      <c r="R823" s="47">
        <f>TDIST(3.01,144,1)</f>
        <v>0.001542757476</v>
      </c>
      <c r="S823" s="298">
        <f t="shared" si="124"/>
        <v>3.166518092</v>
      </c>
      <c r="T823" s="298">
        <f t="shared" si="125"/>
        <v>0.8861911063</v>
      </c>
      <c r="U823" s="50"/>
    </row>
    <row r="824">
      <c r="A824" s="271"/>
      <c r="B824" s="43"/>
      <c r="C824" s="43"/>
      <c r="D824" s="41"/>
      <c r="E824" s="41"/>
      <c r="F824" s="43"/>
      <c r="G824" s="43"/>
      <c r="H824" s="43"/>
      <c r="I824" s="43">
        <v>1.0</v>
      </c>
      <c r="J824" s="43" t="s">
        <v>53</v>
      </c>
      <c r="K824" s="45" t="s">
        <v>2196</v>
      </c>
      <c r="L824" s="45" t="s">
        <v>2197</v>
      </c>
      <c r="M824" s="123" t="s">
        <v>2198</v>
      </c>
      <c r="N824" s="123" t="s">
        <v>169</v>
      </c>
      <c r="O824" s="47"/>
      <c r="P824" s="47"/>
      <c r="Q824" s="47"/>
      <c r="R824" s="47">
        <f>TDIST(1.82,144,1)</f>
        <v>0.03541786648</v>
      </c>
      <c r="S824" s="298">
        <f t="shared" si="124"/>
        <v>2.103548313</v>
      </c>
      <c r="T824" s="298">
        <f t="shared" si="125"/>
        <v>0.557071421</v>
      </c>
      <c r="U824" s="50"/>
    </row>
    <row r="825">
      <c r="A825" s="271"/>
      <c r="B825" s="43"/>
      <c r="C825" s="43"/>
      <c r="D825" s="41"/>
      <c r="E825" s="41"/>
      <c r="F825" s="43"/>
      <c r="G825" s="43"/>
      <c r="H825" s="43"/>
      <c r="I825" s="43">
        <v>1.0</v>
      </c>
      <c r="J825" s="43" t="s">
        <v>65</v>
      </c>
      <c r="K825" s="45" t="s">
        <v>2199</v>
      </c>
      <c r="L825" s="45" t="s">
        <v>2200</v>
      </c>
      <c r="M825" s="44" t="s">
        <v>2201</v>
      </c>
      <c r="N825" s="44" t="s">
        <v>119</v>
      </c>
      <c r="O825" s="47"/>
      <c r="P825" s="47"/>
      <c r="Q825" s="47"/>
      <c r="R825" s="47">
        <f>TDIST(2.39,144,1)</f>
        <v>0.009071107955</v>
      </c>
      <c r="S825" s="298">
        <f t="shared" si="124"/>
        <v>2.609362553</v>
      </c>
      <c r="T825" s="298">
        <f t="shared" si="125"/>
        <v>0.7419479688</v>
      </c>
      <c r="U825" s="50"/>
    </row>
    <row r="826">
      <c r="A826" s="271"/>
      <c r="B826" s="43"/>
      <c r="C826" s="43"/>
      <c r="D826" s="41"/>
      <c r="E826" s="41"/>
      <c r="F826" s="43"/>
      <c r="G826" s="43"/>
      <c r="H826" s="43"/>
      <c r="I826" s="43">
        <v>1.0</v>
      </c>
      <c r="J826" s="43" t="s">
        <v>130</v>
      </c>
      <c r="K826" s="45" t="s">
        <v>2202</v>
      </c>
      <c r="L826" s="45" t="s">
        <v>2203</v>
      </c>
      <c r="M826" s="44" t="s">
        <v>2204</v>
      </c>
      <c r="N826" s="44" t="s">
        <v>275</v>
      </c>
      <c r="O826" s="47"/>
      <c r="P826" s="47"/>
      <c r="Q826" s="47"/>
      <c r="R826" s="47">
        <f>t.DIST(1.32,144,1)</f>
        <v>0.9055352421</v>
      </c>
      <c r="S826" s="298">
        <f t="shared" si="124"/>
        <v>0.1186719728</v>
      </c>
      <c r="T826" s="298">
        <f t="shared" si="125"/>
        <v>0.03278675145</v>
      </c>
      <c r="U826" s="50"/>
    </row>
    <row r="827">
      <c r="A827" s="275"/>
      <c r="B827" s="75"/>
      <c r="C827" s="75"/>
      <c r="D827" s="76"/>
      <c r="E827" s="76"/>
      <c r="F827" s="75"/>
      <c r="G827" s="75"/>
      <c r="H827" s="75"/>
      <c r="I827" s="75">
        <v>1.0</v>
      </c>
      <c r="J827" s="75" t="s">
        <v>134</v>
      </c>
      <c r="K827" s="78" t="s">
        <v>2205</v>
      </c>
      <c r="L827" s="78" t="s">
        <v>2206</v>
      </c>
      <c r="M827" s="77" t="s">
        <v>2207</v>
      </c>
      <c r="N827" s="77" t="s">
        <v>169</v>
      </c>
      <c r="O827" s="80"/>
      <c r="P827" s="80"/>
      <c r="Q827" s="80"/>
      <c r="R827" s="80">
        <f>TDIST(2.28,144,1)</f>
        <v>0.01203820913</v>
      </c>
      <c r="S827" s="305">
        <f t="shared" si="124"/>
        <v>2.511022305</v>
      </c>
      <c r="T827" s="305">
        <f t="shared" si="125"/>
        <v>0.7091908078</v>
      </c>
      <c r="U827" s="81"/>
    </row>
    <row r="828">
      <c r="A828" s="7"/>
      <c r="B828" s="8">
        <v>360.0</v>
      </c>
      <c r="C828" s="14" t="s">
        <v>2208</v>
      </c>
      <c r="D828" s="7" t="s">
        <v>149</v>
      </c>
      <c r="E828" s="11"/>
      <c r="F828" s="8" t="s">
        <v>2209</v>
      </c>
      <c r="G828" s="8">
        <v>2011.0</v>
      </c>
      <c r="H828" s="8"/>
      <c r="I828" s="8"/>
      <c r="J828" s="8"/>
      <c r="K828" s="16"/>
      <c r="L828" s="13"/>
      <c r="M828" s="15"/>
      <c r="N828" s="15"/>
      <c r="O828" s="15"/>
      <c r="P828" s="15"/>
      <c r="Q828" s="15"/>
      <c r="R828" s="15"/>
      <c r="S828" s="15"/>
      <c r="T828" s="15"/>
      <c r="U828" s="16"/>
    </row>
    <row r="829">
      <c r="A829" s="7"/>
      <c r="B829" s="8">
        <v>361.0</v>
      </c>
      <c r="C829" s="14" t="s">
        <v>2210</v>
      </c>
      <c r="D829" s="11"/>
      <c r="E829" s="22" t="s">
        <v>1668</v>
      </c>
      <c r="F829" s="8" t="s">
        <v>2211</v>
      </c>
      <c r="G829" s="8">
        <v>2019.0</v>
      </c>
      <c r="H829" s="8"/>
      <c r="I829" s="8"/>
      <c r="J829" s="8"/>
      <c r="K829" s="16"/>
      <c r="L829" s="13"/>
      <c r="M829" s="15"/>
      <c r="N829" s="15"/>
      <c r="O829" s="15"/>
      <c r="P829" s="15"/>
      <c r="Q829" s="15"/>
      <c r="R829" s="15"/>
      <c r="S829" s="15"/>
      <c r="T829" s="15"/>
      <c r="U829" s="16"/>
    </row>
    <row r="830">
      <c r="A830" s="7"/>
      <c r="B830" s="8">
        <v>362.0</v>
      </c>
      <c r="C830" s="14" t="s">
        <v>2212</v>
      </c>
      <c r="D830" s="7" t="s">
        <v>241</v>
      </c>
      <c r="E830" s="11"/>
      <c r="F830" s="8" t="s">
        <v>2213</v>
      </c>
      <c r="G830" s="8">
        <v>2017.0</v>
      </c>
      <c r="H830" s="8"/>
      <c r="I830" s="8"/>
      <c r="J830" s="8"/>
      <c r="K830" s="16"/>
      <c r="L830" s="13"/>
      <c r="M830" s="15"/>
      <c r="N830" s="15"/>
      <c r="O830" s="15"/>
      <c r="P830" s="15"/>
      <c r="Q830" s="15"/>
      <c r="R830" s="15"/>
      <c r="S830" s="15"/>
      <c r="T830" s="15"/>
      <c r="U830" s="16"/>
    </row>
    <row r="831">
      <c r="A831" s="7"/>
      <c r="B831" s="8">
        <v>363.0</v>
      </c>
      <c r="C831" s="14" t="s">
        <v>2214</v>
      </c>
      <c r="D831" s="22" t="s">
        <v>1770</v>
      </c>
      <c r="E831" s="11"/>
      <c r="F831" s="12"/>
      <c r="G831" s="12"/>
      <c r="H831" s="8"/>
      <c r="I831" s="8"/>
      <c r="J831" s="8"/>
      <c r="K831" s="16"/>
      <c r="L831" s="13"/>
      <c r="M831" s="15"/>
      <c r="N831" s="15"/>
      <c r="O831" s="15"/>
      <c r="P831" s="15"/>
      <c r="Q831" s="15"/>
      <c r="R831" s="15"/>
      <c r="S831" s="15"/>
      <c r="T831" s="15"/>
      <c r="U831" s="16"/>
    </row>
    <row r="832">
      <c r="A832" s="7"/>
      <c r="B832" s="8">
        <v>364.0</v>
      </c>
      <c r="C832" s="14" t="s">
        <v>2215</v>
      </c>
      <c r="D832" s="7" t="s">
        <v>307</v>
      </c>
      <c r="E832" s="11"/>
      <c r="F832" s="8" t="s">
        <v>2216</v>
      </c>
      <c r="G832" s="8">
        <v>2017.0</v>
      </c>
      <c r="H832" s="8"/>
      <c r="I832" s="8"/>
      <c r="J832" s="8"/>
      <c r="K832" s="16"/>
      <c r="L832" s="13"/>
      <c r="M832" s="15"/>
      <c r="N832" s="15"/>
      <c r="O832" s="15"/>
      <c r="P832" s="15"/>
      <c r="Q832" s="15"/>
      <c r="R832" s="15"/>
      <c r="S832" s="15"/>
      <c r="T832" s="15"/>
      <c r="U832" s="16"/>
    </row>
    <row r="833">
      <c r="A833" s="7"/>
      <c r="B833" s="8">
        <v>365.0</v>
      </c>
      <c r="C833" s="14" t="s">
        <v>2217</v>
      </c>
      <c r="D833" s="7" t="s">
        <v>307</v>
      </c>
      <c r="E833" s="11"/>
      <c r="F833" s="8" t="s">
        <v>2218</v>
      </c>
      <c r="G833" s="8">
        <v>2012.0</v>
      </c>
      <c r="H833" s="8"/>
      <c r="I833" s="8"/>
      <c r="J833" s="8"/>
      <c r="K833" s="16"/>
      <c r="L833" s="13"/>
      <c r="M833" s="15"/>
      <c r="N833" s="15"/>
      <c r="O833" s="15"/>
      <c r="P833" s="15"/>
      <c r="Q833" s="15"/>
      <c r="R833" s="15"/>
      <c r="S833" s="15"/>
      <c r="T833" s="15"/>
      <c r="U833" s="16"/>
    </row>
    <row r="834">
      <c r="A834" s="7"/>
      <c r="B834" s="8">
        <v>366.0</v>
      </c>
      <c r="C834" s="14" t="s">
        <v>2219</v>
      </c>
      <c r="D834" s="7" t="s">
        <v>1464</v>
      </c>
      <c r="E834" s="11"/>
      <c r="F834" s="8" t="s">
        <v>2220</v>
      </c>
      <c r="G834" s="8">
        <v>2017.0</v>
      </c>
      <c r="H834" s="8"/>
      <c r="I834" s="8"/>
      <c r="J834" s="8"/>
      <c r="K834" s="16"/>
      <c r="L834" s="13"/>
      <c r="M834" s="15"/>
      <c r="N834" s="15"/>
      <c r="O834" s="15"/>
      <c r="P834" s="15"/>
      <c r="Q834" s="15"/>
      <c r="R834" s="15"/>
      <c r="S834" s="15"/>
      <c r="T834" s="15"/>
      <c r="U834" s="16"/>
    </row>
    <row r="835">
      <c r="A835" s="7"/>
      <c r="B835" s="8">
        <v>367.0</v>
      </c>
      <c r="C835" s="14" t="s">
        <v>2221</v>
      </c>
      <c r="D835" s="7" t="s">
        <v>2222</v>
      </c>
      <c r="E835" s="11"/>
      <c r="F835" s="8" t="s">
        <v>2223</v>
      </c>
      <c r="G835" s="8">
        <v>2017.0</v>
      </c>
      <c r="H835" s="8"/>
      <c r="I835" s="8"/>
      <c r="J835" s="8"/>
      <c r="K835" s="16"/>
      <c r="L835" s="13"/>
      <c r="M835" s="15"/>
      <c r="N835" s="15"/>
      <c r="O835" s="15"/>
      <c r="P835" s="15"/>
      <c r="Q835" s="15"/>
      <c r="R835" s="15"/>
      <c r="S835" s="15"/>
      <c r="T835" s="15"/>
      <c r="U835" s="16"/>
    </row>
    <row r="836">
      <c r="A836" s="7"/>
      <c r="B836" s="8">
        <v>368.0</v>
      </c>
      <c r="C836" s="14" t="s">
        <v>2224</v>
      </c>
      <c r="D836" s="7" t="s">
        <v>2225</v>
      </c>
      <c r="E836" s="11"/>
      <c r="F836" s="8" t="s">
        <v>2226</v>
      </c>
      <c r="G836" s="8">
        <v>2009.0</v>
      </c>
      <c r="H836" s="8"/>
      <c r="I836" s="8"/>
      <c r="J836" s="8"/>
      <c r="K836" s="16"/>
      <c r="L836" s="13"/>
      <c r="M836" s="15"/>
      <c r="N836" s="15"/>
      <c r="O836" s="15"/>
      <c r="P836" s="15"/>
      <c r="Q836" s="15"/>
      <c r="R836" s="15"/>
      <c r="S836" s="15"/>
      <c r="T836" s="15"/>
      <c r="U836" s="16"/>
    </row>
    <row r="837">
      <c r="A837" s="7"/>
      <c r="B837" s="8">
        <v>369.0</v>
      </c>
      <c r="C837" s="14" t="s">
        <v>2227</v>
      </c>
      <c r="D837" s="7" t="s">
        <v>31</v>
      </c>
      <c r="E837" s="11"/>
      <c r="F837" s="8" t="s">
        <v>2228</v>
      </c>
      <c r="G837" s="8">
        <v>2000.0</v>
      </c>
      <c r="H837" s="8"/>
      <c r="I837" s="8"/>
      <c r="J837" s="8"/>
      <c r="K837" s="16"/>
      <c r="L837" s="13"/>
      <c r="M837" s="15"/>
      <c r="N837" s="15"/>
      <c r="O837" s="15"/>
      <c r="P837" s="15"/>
      <c r="Q837" s="15"/>
      <c r="R837" s="15"/>
      <c r="S837" s="15"/>
      <c r="T837" s="15"/>
      <c r="U837" s="16"/>
    </row>
    <row r="838">
      <c r="A838" s="7"/>
      <c r="B838" s="8">
        <v>370.0</v>
      </c>
      <c r="C838" s="14" t="s">
        <v>2229</v>
      </c>
      <c r="D838" s="7" t="s">
        <v>307</v>
      </c>
      <c r="E838" s="11"/>
      <c r="F838" s="8" t="s">
        <v>2230</v>
      </c>
      <c r="G838" s="8">
        <v>2016.0</v>
      </c>
      <c r="H838" s="8"/>
      <c r="I838" s="8"/>
      <c r="J838" s="8"/>
      <c r="K838" s="16"/>
      <c r="L838" s="13"/>
      <c r="M838" s="15"/>
      <c r="N838" s="15"/>
      <c r="O838" s="15"/>
      <c r="P838" s="15"/>
      <c r="Q838" s="15"/>
      <c r="R838" s="15"/>
      <c r="S838" s="15"/>
      <c r="T838" s="15"/>
      <c r="U838" s="16"/>
    </row>
    <row r="839">
      <c r="A839" s="270">
        <v>1.0</v>
      </c>
      <c r="B839" s="89">
        <v>371.0</v>
      </c>
      <c r="C839" s="87" t="s">
        <v>2231</v>
      </c>
      <c r="D839" s="88" t="s">
        <v>48</v>
      </c>
      <c r="E839" s="88" t="s">
        <v>32</v>
      </c>
      <c r="F839" s="89" t="s">
        <v>2232</v>
      </c>
      <c r="G839" s="89">
        <v>2018.0</v>
      </c>
      <c r="H839" s="89">
        <v>1.0</v>
      </c>
      <c r="I839" s="89" t="s">
        <v>642</v>
      </c>
      <c r="J839" s="89">
        <v>1.0</v>
      </c>
      <c r="K839" s="91" t="s">
        <v>2233</v>
      </c>
      <c r="L839" s="91" t="s">
        <v>2234</v>
      </c>
      <c r="M839" s="90" t="s">
        <v>2235</v>
      </c>
      <c r="N839" s="90" t="s">
        <v>2236</v>
      </c>
      <c r="O839" s="92"/>
      <c r="P839" s="92"/>
      <c r="Q839" s="92"/>
      <c r="R839" s="92">
        <f>TDIST(3.501,44,2)</f>
        <v>0.001075447554</v>
      </c>
      <c r="S839" s="289">
        <f t="shared" ref="S839:S841" si="126">NORMINV(1-R839/2,0,1)</f>
        <v>3.270007175</v>
      </c>
      <c r="T839" s="289">
        <f t="shared" ref="T839:T841" si="127">NORMDIST(S839,1.96,1,TRUE)</f>
        <v>0.9049032958</v>
      </c>
      <c r="U839" s="93"/>
    </row>
    <row r="840">
      <c r="A840" s="271"/>
      <c r="B840" s="43">
        <v>371.0</v>
      </c>
      <c r="C840" s="43"/>
      <c r="D840" s="41"/>
      <c r="E840" s="41"/>
      <c r="F840" s="43"/>
      <c r="G840" s="43"/>
      <c r="H840" s="43">
        <v>1.0</v>
      </c>
      <c r="I840" s="43" t="s">
        <v>642</v>
      </c>
      <c r="J840" s="46" t="s">
        <v>642</v>
      </c>
      <c r="K840" s="45" t="s">
        <v>2237</v>
      </c>
      <c r="L840" s="45" t="s">
        <v>2238</v>
      </c>
      <c r="M840" s="44" t="s">
        <v>2239</v>
      </c>
      <c r="N840" s="44" t="s">
        <v>2240</v>
      </c>
      <c r="O840" s="47"/>
      <c r="P840" s="47"/>
      <c r="Q840" s="47"/>
      <c r="R840" s="47">
        <f>TDIST(2.033,44,2)</f>
        <v>0.04811302552</v>
      </c>
      <c r="S840" s="298">
        <f t="shared" si="126"/>
        <v>1.976368776</v>
      </c>
      <c r="T840" s="298">
        <f t="shared" si="127"/>
        <v>0.5065299051</v>
      </c>
      <c r="U840" s="50"/>
    </row>
    <row r="841">
      <c r="A841" s="271"/>
      <c r="B841" s="43">
        <v>371.0</v>
      </c>
      <c r="C841" s="43"/>
      <c r="D841" s="41"/>
      <c r="E841" s="41"/>
      <c r="F841" s="43"/>
      <c r="G841" s="43"/>
      <c r="H841" s="43">
        <v>1.0</v>
      </c>
      <c r="I841" s="43" t="s">
        <v>642</v>
      </c>
      <c r="J841" s="46" t="s">
        <v>644</v>
      </c>
      <c r="K841" s="45" t="s">
        <v>2241</v>
      </c>
      <c r="L841" s="45" t="s">
        <v>2242</v>
      </c>
      <c r="M841" s="44" t="s">
        <v>2243</v>
      </c>
      <c r="N841" s="44" t="s">
        <v>2244</v>
      </c>
      <c r="O841" s="47"/>
      <c r="P841" s="47"/>
      <c r="Q841" s="47"/>
      <c r="R841" s="47">
        <f>TDIST(0.029,44,2)</f>
        <v>0.9769957311</v>
      </c>
      <c r="S841" s="298">
        <f t="shared" si="126"/>
        <v>0.02883557109</v>
      </c>
      <c r="T841" s="298">
        <f t="shared" si="127"/>
        <v>0.0267313607</v>
      </c>
      <c r="U841" s="50"/>
    </row>
    <row r="842">
      <c r="A842" s="274"/>
      <c r="B842" s="62">
        <v>371.0</v>
      </c>
      <c r="C842" s="62"/>
      <c r="D842" s="22"/>
      <c r="E842" s="22"/>
      <c r="F842" s="62"/>
      <c r="G842" s="62"/>
      <c r="H842" s="62">
        <v>1.0</v>
      </c>
      <c r="I842" s="62" t="s">
        <v>642</v>
      </c>
      <c r="J842" s="62">
        <v>3.0</v>
      </c>
      <c r="K842" s="64" t="s">
        <v>2245</v>
      </c>
      <c r="L842" s="64" t="s">
        <v>1443</v>
      </c>
      <c r="M842" s="66"/>
      <c r="N842" s="66"/>
      <c r="O842" s="66"/>
      <c r="P842" s="66"/>
      <c r="Q842" s="66"/>
      <c r="R842" s="66"/>
      <c r="S842" s="66"/>
      <c r="T842" s="66"/>
      <c r="U842" s="67"/>
    </row>
    <row r="843">
      <c r="A843" s="271">
        <v>1.0</v>
      </c>
      <c r="B843" s="43">
        <v>371.0</v>
      </c>
      <c r="C843" s="43"/>
      <c r="D843" s="41"/>
      <c r="E843" s="41"/>
      <c r="F843" s="43"/>
      <c r="G843" s="43"/>
      <c r="H843" s="43">
        <v>2.0</v>
      </c>
      <c r="I843" s="43" t="s">
        <v>2246</v>
      </c>
      <c r="J843" s="43">
        <v>1.0</v>
      </c>
      <c r="K843" s="45" t="s">
        <v>2233</v>
      </c>
      <c r="L843" s="45" t="s">
        <v>2247</v>
      </c>
      <c r="M843" s="44" t="s">
        <v>2248</v>
      </c>
      <c r="N843" s="44" t="s">
        <v>2249</v>
      </c>
      <c r="O843" s="47"/>
      <c r="P843" s="47"/>
      <c r="Q843" s="47"/>
      <c r="R843" s="47">
        <f>TDIST(2.162,57,2)</f>
        <v>0.0348300308</v>
      </c>
      <c r="S843" s="298">
        <f t="shared" ref="S843:S845" si="128">NORMINV(1-R843/2,0,1)</f>
        <v>2.110328958</v>
      </c>
      <c r="T843" s="298">
        <f t="shared" ref="T843:T845" si="129">NORMDIST(S843,1.96,1,TRUE)</f>
        <v>0.5597474561</v>
      </c>
      <c r="U843" s="50"/>
    </row>
    <row r="844">
      <c r="A844" s="271"/>
      <c r="B844" s="43">
        <v>371.0</v>
      </c>
      <c r="C844" s="43"/>
      <c r="D844" s="41"/>
      <c r="E844" s="41"/>
      <c r="F844" s="43"/>
      <c r="G844" s="43"/>
      <c r="H844" s="43">
        <v>2.0</v>
      </c>
      <c r="I844" s="43" t="s">
        <v>644</v>
      </c>
      <c r="J844" s="46" t="s">
        <v>642</v>
      </c>
      <c r="K844" s="45" t="s">
        <v>2237</v>
      </c>
      <c r="L844" s="45" t="s">
        <v>2250</v>
      </c>
      <c r="M844" s="44" t="s">
        <v>2251</v>
      </c>
      <c r="N844" s="44" t="s">
        <v>2252</v>
      </c>
      <c r="O844" s="47"/>
      <c r="P844" s="47"/>
      <c r="Q844" s="47"/>
      <c r="R844" s="47">
        <f>TDIST(2.717,57,2)</f>
        <v>0.008708295341</v>
      </c>
      <c r="S844" s="298">
        <f t="shared" si="128"/>
        <v>2.623298448</v>
      </c>
      <c r="T844" s="298">
        <f t="shared" si="129"/>
        <v>0.7464302848</v>
      </c>
      <c r="U844" s="50"/>
    </row>
    <row r="845">
      <c r="A845" s="271"/>
      <c r="B845" s="43">
        <v>371.0</v>
      </c>
      <c r="C845" s="43"/>
      <c r="D845" s="41"/>
      <c r="E845" s="41"/>
      <c r="F845" s="43"/>
      <c r="G845" s="43"/>
      <c r="H845" s="43">
        <v>2.0</v>
      </c>
      <c r="I845" s="43" t="s">
        <v>644</v>
      </c>
      <c r="J845" s="46" t="s">
        <v>644</v>
      </c>
      <c r="K845" s="45" t="s">
        <v>2241</v>
      </c>
      <c r="L845" s="45" t="s">
        <v>2253</v>
      </c>
      <c r="M845" s="123" t="s">
        <v>2254</v>
      </c>
      <c r="N845" s="44" t="s">
        <v>2255</v>
      </c>
      <c r="O845" s="47"/>
      <c r="P845" s="47"/>
      <c r="Q845" s="47"/>
      <c r="R845" s="47">
        <f>TDIST(1.369,57,2)</f>
        <v>0.176370042</v>
      </c>
      <c r="S845" s="298">
        <f t="shared" si="128"/>
        <v>1.352016484</v>
      </c>
      <c r="T845" s="298">
        <f t="shared" si="129"/>
        <v>0.2715992034</v>
      </c>
      <c r="U845" s="50"/>
    </row>
    <row r="846">
      <c r="A846" s="274"/>
      <c r="B846" s="62">
        <v>371.0</v>
      </c>
      <c r="C846" s="62"/>
      <c r="D846" s="22"/>
      <c r="E846" s="22"/>
      <c r="F846" s="62"/>
      <c r="G846" s="62"/>
      <c r="H846" s="62">
        <v>2.0</v>
      </c>
      <c r="I846" s="62" t="s">
        <v>644</v>
      </c>
      <c r="J846" s="62">
        <v>3.0</v>
      </c>
      <c r="K846" s="64" t="s">
        <v>2245</v>
      </c>
      <c r="L846" s="64" t="s">
        <v>1443</v>
      </c>
      <c r="M846" s="66"/>
      <c r="N846" s="66"/>
      <c r="O846" s="66"/>
      <c r="P846" s="66"/>
      <c r="Q846" s="66"/>
      <c r="R846" s="66"/>
      <c r="S846" s="66"/>
      <c r="T846" s="66"/>
      <c r="U846" s="67"/>
    </row>
    <row r="847">
      <c r="A847" s="271">
        <v>1.0</v>
      </c>
      <c r="B847" s="43">
        <v>371.0</v>
      </c>
      <c r="C847" s="43"/>
      <c r="D847" s="41"/>
      <c r="E847" s="41"/>
      <c r="F847" s="43"/>
      <c r="G847" s="43"/>
      <c r="H847" s="43">
        <v>3.0</v>
      </c>
      <c r="I847" s="43" t="s">
        <v>53</v>
      </c>
      <c r="J847" s="43">
        <v>1.0</v>
      </c>
      <c r="K847" s="45" t="s">
        <v>2233</v>
      </c>
      <c r="L847" s="45" t="s">
        <v>2256</v>
      </c>
      <c r="M847" s="44" t="s">
        <v>2257</v>
      </c>
      <c r="N847" s="123" t="s">
        <v>2258</v>
      </c>
      <c r="O847" s="47"/>
      <c r="P847" s="47"/>
      <c r="Q847" s="47"/>
      <c r="R847" s="47">
        <f>TDIST(7.164,394,2)</f>
        <v>0</v>
      </c>
      <c r="S847" s="298">
        <f t="shared" ref="S847:S852" si="130">NORMINV(1-R847/2,0,1)</f>
        <v>6.941484517</v>
      </c>
      <c r="T847" s="298">
        <f t="shared" ref="T847:T852" si="131">NORMDIST(S847,1.96,1,TRUE)</f>
        <v>0.9999996845</v>
      </c>
      <c r="U847" s="50"/>
    </row>
    <row r="848">
      <c r="A848" s="271"/>
      <c r="B848" s="43">
        <v>371.0</v>
      </c>
      <c r="C848" s="43"/>
      <c r="D848" s="41"/>
      <c r="E848" s="41"/>
      <c r="F848" s="43"/>
      <c r="G848" s="43"/>
      <c r="H848" s="43">
        <v>3.0</v>
      </c>
      <c r="I848" s="43" t="s">
        <v>53</v>
      </c>
      <c r="J848" s="46" t="s">
        <v>642</v>
      </c>
      <c r="K848" s="45" t="s">
        <v>2237</v>
      </c>
      <c r="L848" s="45" t="s">
        <v>2259</v>
      </c>
      <c r="M848" s="123" t="s">
        <v>2260</v>
      </c>
      <c r="N848" s="123" t="s">
        <v>2258</v>
      </c>
      <c r="O848" s="47"/>
      <c r="P848" s="47"/>
      <c r="Q848" s="47"/>
      <c r="R848" s="47">
        <f>TDIST(8.069,394,2)</f>
        <v>0</v>
      </c>
      <c r="S848" s="298">
        <f t="shared" si="130"/>
        <v>7.757532924</v>
      </c>
      <c r="T848" s="298">
        <f t="shared" si="131"/>
        <v>0.9999999966</v>
      </c>
      <c r="U848" s="50"/>
    </row>
    <row r="849">
      <c r="A849" s="271"/>
      <c r="B849" s="43">
        <v>371.0</v>
      </c>
      <c r="C849" s="43"/>
      <c r="D849" s="41"/>
      <c r="E849" s="41"/>
      <c r="F849" s="43"/>
      <c r="G849" s="43"/>
      <c r="H849" s="43">
        <v>3.0</v>
      </c>
      <c r="I849" s="43" t="s">
        <v>53</v>
      </c>
      <c r="J849" s="46" t="s">
        <v>644</v>
      </c>
      <c r="K849" s="45" t="s">
        <v>2241</v>
      </c>
      <c r="L849" s="45" t="s">
        <v>2261</v>
      </c>
      <c r="M849" s="44" t="s">
        <v>2262</v>
      </c>
      <c r="N849" s="123" t="s">
        <v>2258</v>
      </c>
      <c r="O849" s="47"/>
      <c r="P849" s="47"/>
      <c r="Q849" s="47"/>
      <c r="R849" s="47">
        <f>TDIST(6.281,394,2)</f>
        <v>0.0000000008904315063</v>
      </c>
      <c r="S849" s="298">
        <f t="shared" si="130"/>
        <v>6.127906021</v>
      </c>
      <c r="T849" s="298">
        <f t="shared" si="131"/>
        <v>0.9999846295</v>
      </c>
      <c r="U849" s="50"/>
    </row>
    <row r="850">
      <c r="A850" s="271">
        <v>1.0</v>
      </c>
      <c r="B850" s="43">
        <v>371.0</v>
      </c>
      <c r="C850" s="43"/>
      <c r="D850" s="41"/>
      <c r="E850" s="41"/>
      <c r="F850" s="43"/>
      <c r="G850" s="43"/>
      <c r="H850" s="43">
        <v>4.0</v>
      </c>
      <c r="I850" s="43" t="s">
        <v>65</v>
      </c>
      <c r="J850" s="43">
        <v>1.0</v>
      </c>
      <c r="K850" s="45" t="s">
        <v>2233</v>
      </c>
      <c r="L850" s="45" t="s">
        <v>2263</v>
      </c>
      <c r="M850" s="44" t="s">
        <v>2264</v>
      </c>
      <c r="N850" s="123" t="s">
        <v>2258</v>
      </c>
      <c r="O850" s="47"/>
      <c r="P850" s="47"/>
      <c r="Q850" s="47"/>
      <c r="R850" s="47">
        <f>TDIST(5.55,397,2)</f>
        <v>0.0000000523200876</v>
      </c>
      <c r="S850" s="298">
        <f t="shared" si="130"/>
        <v>5.443239974</v>
      </c>
      <c r="T850" s="298">
        <f t="shared" si="131"/>
        <v>0.999752308</v>
      </c>
      <c r="U850" s="50"/>
    </row>
    <row r="851">
      <c r="A851" s="271"/>
      <c r="B851" s="43">
        <v>371.0</v>
      </c>
      <c r="C851" s="43"/>
      <c r="D851" s="41"/>
      <c r="E851" s="41"/>
      <c r="F851" s="43"/>
      <c r="G851" s="43"/>
      <c r="H851" s="43">
        <v>4.0</v>
      </c>
      <c r="I851" s="43" t="s">
        <v>65</v>
      </c>
      <c r="J851" s="46" t="s">
        <v>642</v>
      </c>
      <c r="K851" s="45" t="s">
        <v>2237</v>
      </c>
      <c r="L851" s="45" t="s">
        <v>2265</v>
      </c>
      <c r="M851" s="44" t="s">
        <v>2266</v>
      </c>
      <c r="N851" s="123" t="s">
        <v>2258</v>
      </c>
      <c r="O851" s="47"/>
      <c r="P851" s="47"/>
      <c r="Q851" s="47"/>
      <c r="R851" s="47">
        <f>TDIST(8.842,397,2)</f>
        <v>0</v>
      </c>
      <c r="S851" s="298" t="str">
        <f t="shared" si="130"/>
        <v>#NUM!</v>
      </c>
      <c r="T851" s="298" t="str">
        <f t="shared" si="131"/>
        <v>#NUM!</v>
      </c>
      <c r="U851" s="50"/>
    </row>
    <row r="852">
      <c r="A852" s="275"/>
      <c r="B852" s="75">
        <v>371.0</v>
      </c>
      <c r="C852" s="75"/>
      <c r="D852" s="76"/>
      <c r="E852" s="76"/>
      <c r="F852" s="75"/>
      <c r="G852" s="75"/>
      <c r="H852" s="75">
        <v>4.0</v>
      </c>
      <c r="I852" s="75" t="s">
        <v>65</v>
      </c>
      <c r="J852" s="229" t="s">
        <v>644</v>
      </c>
      <c r="K852" s="78" t="s">
        <v>2241</v>
      </c>
      <c r="L852" s="78" t="s">
        <v>2267</v>
      </c>
      <c r="M852" s="208" t="s">
        <v>2268</v>
      </c>
      <c r="N852" s="208" t="s">
        <v>2258</v>
      </c>
      <c r="O852" s="80"/>
      <c r="P852" s="80"/>
      <c r="Q852" s="80"/>
      <c r="R852" s="80">
        <f>TDIST(4.682,397,2)</f>
        <v>0.000003905710947</v>
      </c>
      <c r="S852" s="305">
        <f t="shared" si="130"/>
        <v>4.616337764</v>
      </c>
      <c r="T852" s="305">
        <f t="shared" si="131"/>
        <v>0.9960502775</v>
      </c>
      <c r="U852" s="81"/>
    </row>
    <row r="853">
      <c r="A853" s="7"/>
      <c r="B853" s="8"/>
      <c r="C853" s="116"/>
      <c r="D853" s="7"/>
      <c r="E853" s="7"/>
      <c r="F853" s="8"/>
      <c r="G853" s="8"/>
      <c r="H853" s="8"/>
      <c r="I853" s="8"/>
      <c r="J853" s="8"/>
      <c r="K853" s="16"/>
      <c r="L853" s="13"/>
      <c r="M853" s="15"/>
      <c r="N853" s="15"/>
      <c r="O853" s="15"/>
      <c r="P853" s="15"/>
      <c r="Q853" s="15"/>
      <c r="R853" s="15"/>
      <c r="S853" s="15"/>
      <c r="T853" s="15"/>
      <c r="U853" s="16"/>
    </row>
    <row r="854">
      <c r="A854" s="270">
        <v>1.0</v>
      </c>
      <c r="B854" s="89">
        <v>372.0</v>
      </c>
      <c r="C854" s="87" t="s">
        <v>2269</v>
      </c>
      <c r="D854" s="88" t="s">
        <v>48</v>
      </c>
      <c r="E854" s="88" t="s">
        <v>32</v>
      </c>
      <c r="F854" s="89" t="s">
        <v>2270</v>
      </c>
      <c r="G854" s="89">
        <v>2002.0</v>
      </c>
      <c r="H854" s="89">
        <v>1.0</v>
      </c>
      <c r="I854" s="89">
        <v>1.0</v>
      </c>
      <c r="J854" s="89">
        <v>1.0</v>
      </c>
      <c r="K854" s="91" t="s">
        <v>2271</v>
      </c>
      <c r="L854" s="91" t="s">
        <v>2272</v>
      </c>
      <c r="M854" s="90" t="s">
        <v>2273</v>
      </c>
      <c r="N854" s="90" t="s">
        <v>119</v>
      </c>
      <c r="O854" s="92"/>
      <c r="P854" s="92"/>
      <c r="Q854" s="92"/>
      <c r="R854" s="92">
        <f>TDIST(8.21,119,1)</f>
        <v>0</v>
      </c>
      <c r="S854" s="289">
        <f t="shared" ref="S854:S857" si="132">NORMINV(1-R854/2,0,1)</f>
        <v>7.385892219</v>
      </c>
      <c r="T854" s="289">
        <f t="shared" ref="T854:T857" si="133">NORMDIST(S854,1.96,1,TRUE)</f>
        <v>0.9999999712</v>
      </c>
      <c r="U854" s="93"/>
    </row>
    <row r="855">
      <c r="A855" s="271"/>
      <c r="B855" s="43">
        <v>372.0</v>
      </c>
      <c r="C855" s="43"/>
      <c r="D855" s="41"/>
      <c r="E855" s="41"/>
      <c r="F855" s="43"/>
      <c r="G855" s="43"/>
      <c r="H855" s="43">
        <v>1.0</v>
      </c>
      <c r="I855" s="43">
        <v>1.0</v>
      </c>
      <c r="J855" s="43">
        <v>2.0</v>
      </c>
      <c r="K855" s="45" t="s">
        <v>2274</v>
      </c>
      <c r="L855" s="45" t="s">
        <v>2275</v>
      </c>
      <c r="M855" s="44" t="s">
        <v>2276</v>
      </c>
      <c r="N855" s="44" t="s">
        <v>119</v>
      </c>
      <c r="O855" s="47"/>
      <c r="P855" s="47"/>
      <c r="Q855" s="47"/>
      <c r="R855" s="47">
        <f>TDIST(4.91,119,2)</f>
        <v>0.00000292961495</v>
      </c>
      <c r="S855" s="298">
        <f t="shared" si="132"/>
        <v>4.67569378</v>
      </c>
      <c r="T855" s="298">
        <f t="shared" si="133"/>
        <v>0.996693147</v>
      </c>
      <c r="U855" s="50"/>
    </row>
    <row r="856">
      <c r="A856" s="271"/>
      <c r="B856" s="43">
        <v>372.0</v>
      </c>
      <c r="C856" s="43"/>
      <c r="D856" s="41"/>
      <c r="E856" s="41"/>
      <c r="F856" s="43"/>
      <c r="G856" s="43"/>
      <c r="H856" s="43">
        <v>1.0</v>
      </c>
      <c r="I856" s="43">
        <v>1.0</v>
      </c>
      <c r="J856" s="43">
        <v>3.0</v>
      </c>
      <c r="K856" s="45" t="s">
        <v>2277</v>
      </c>
      <c r="L856" s="45" t="s">
        <v>2278</v>
      </c>
      <c r="M856" s="44" t="s">
        <v>2279</v>
      </c>
      <c r="N856" s="44" t="s">
        <v>119</v>
      </c>
      <c r="O856" s="47"/>
      <c r="P856" s="47"/>
      <c r="Q856" s="47"/>
      <c r="R856" s="47">
        <f>TDIST(3.1,119,2)</f>
        <v>0.002415962978</v>
      </c>
      <c r="S856" s="298">
        <f t="shared" si="132"/>
        <v>3.033672809</v>
      </c>
      <c r="T856" s="298">
        <f t="shared" si="133"/>
        <v>0.8585153238</v>
      </c>
      <c r="U856" s="50"/>
    </row>
    <row r="857">
      <c r="A857" s="271"/>
      <c r="B857" s="43">
        <v>372.0</v>
      </c>
      <c r="C857" s="43"/>
      <c r="D857" s="41"/>
      <c r="E857" s="41"/>
      <c r="F857" s="43"/>
      <c r="G857" s="43"/>
      <c r="H857" s="43">
        <v>1.0</v>
      </c>
      <c r="I857" s="43">
        <v>1.0</v>
      </c>
      <c r="J857" s="43">
        <v>4.0</v>
      </c>
      <c r="K857" s="45" t="s">
        <v>2280</v>
      </c>
      <c r="L857" s="45" t="s">
        <v>2281</v>
      </c>
      <c r="M857" s="44" t="s">
        <v>2282</v>
      </c>
      <c r="N857" s="44" t="s">
        <v>119</v>
      </c>
      <c r="O857" s="47"/>
      <c r="P857" s="47"/>
      <c r="Q857" s="47"/>
      <c r="R857" s="47">
        <f>TDIST(9.26,119,2)</f>
        <v>0</v>
      </c>
      <c r="S857" s="298">
        <f t="shared" si="132"/>
        <v>8.014015941</v>
      </c>
      <c r="T857" s="298">
        <f t="shared" si="133"/>
        <v>0.9999999993</v>
      </c>
      <c r="U857" s="50"/>
    </row>
    <row r="858">
      <c r="A858" s="274"/>
      <c r="B858" s="62">
        <v>372.0</v>
      </c>
      <c r="C858" s="62"/>
      <c r="D858" s="22"/>
      <c r="E858" s="22"/>
      <c r="F858" s="62"/>
      <c r="G858" s="62"/>
      <c r="H858" s="62">
        <v>1.0</v>
      </c>
      <c r="I858" s="62">
        <v>1.0</v>
      </c>
      <c r="J858" s="62">
        <v>5.0</v>
      </c>
      <c r="K858" s="64" t="s">
        <v>2283</v>
      </c>
      <c r="L858" s="65"/>
      <c r="M858" s="66"/>
      <c r="N858" s="66"/>
      <c r="O858" s="66"/>
      <c r="P858" s="66"/>
      <c r="Q858" s="66"/>
      <c r="R858" s="313" t="s">
        <v>728</v>
      </c>
      <c r="S858" s="66"/>
      <c r="T858" s="66"/>
      <c r="U858" s="67"/>
    </row>
    <row r="859">
      <c r="A859" s="277"/>
      <c r="B859" s="105">
        <v>372.0</v>
      </c>
      <c r="C859" s="105"/>
      <c r="D859" s="106"/>
      <c r="E859" s="106"/>
      <c r="F859" s="105"/>
      <c r="G859" s="105"/>
      <c r="H859" s="105">
        <v>1.0</v>
      </c>
      <c r="I859" s="105">
        <v>1.0</v>
      </c>
      <c r="J859" s="105">
        <v>6.0</v>
      </c>
      <c r="K859" s="108" t="s">
        <v>2284</v>
      </c>
      <c r="L859" s="109"/>
      <c r="M859" s="110"/>
      <c r="N859" s="110"/>
      <c r="O859" s="110"/>
      <c r="P859" s="110"/>
      <c r="Q859" s="110"/>
      <c r="R859" s="110"/>
      <c r="S859" s="110"/>
      <c r="T859" s="110"/>
      <c r="U859" s="111"/>
    </row>
    <row r="860">
      <c r="A860" s="7"/>
      <c r="B860" s="8"/>
      <c r="C860" s="8"/>
      <c r="D860" s="7"/>
      <c r="E860" s="7"/>
      <c r="F860" s="8"/>
      <c r="G860" s="8"/>
      <c r="H860" s="8"/>
      <c r="I860" s="8"/>
      <c r="J860" s="8"/>
      <c r="K860" s="16"/>
      <c r="L860" s="13"/>
      <c r="M860" s="15"/>
      <c r="N860" s="15"/>
      <c r="O860" s="15"/>
      <c r="P860" s="15"/>
      <c r="Q860" s="15"/>
      <c r="R860" s="15"/>
      <c r="S860" s="15"/>
      <c r="T860" s="15"/>
      <c r="U860" s="16"/>
    </row>
    <row r="861">
      <c r="A861" s="279"/>
      <c r="B861" s="35">
        <v>373.0</v>
      </c>
      <c r="C861" s="31" t="s">
        <v>2285</v>
      </c>
      <c r="D861" s="33" t="s">
        <v>48</v>
      </c>
      <c r="E861" s="33" t="s">
        <v>32</v>
      </c>
      <c r="F861" s="35" t="s">
        <v>2286</v>
      </c>
      <c r="G861" s="35">
        <v>2001.0</v>
      </c>
      <c r="H861" s="35"/>
      <c r="I861" s="35">
        <v>1.0</v>
      </c>
      <c r="J861" s="35">
        <v>1.0</v>
      </c>
      <c r="K861" s="37" t="s">
        <v>2287</v>
      </c>
      <c r="L861" s="38"/>
      <c r="M861" s="39"/>
      <c r="N861" s="39"/>
      <c r="O861" s="39"/>
      <c r="P861" s="39"/>
      <c r="Q861" s="39"/>
      <c r="R861" s="39"/>
      <c r="S861" s="39"/>
      <c r="T861" s="39"/>
      <c r="U861" s="40"/>
    </row>
    <row r="862">
      <c r="A862" s="281">
        <v>1.0</v>
      </c>
      <c r="B862" s="70">
        <v>373.0</v>
      </c>
      <c r="C862" s="70"/>
      <c r="D862" s="220"/>
      <c r="E862" s="220"/>
      <c r="F862" s="70"/>
      <c r="G862" s="70"/>
      <c r="H862" s="70">
        <v>1.0</v>
      </c>
      <c r="I862" s="70">
        <v>1.0</v>
      </c>
      <c r="J862" s="70">
        <v>2.0</v>
      </c>
      <c r="K862" s="61" t="s">
        <v>2288</v>
      </c>
      <c r="L862" s="61" t="s">
        <v>2289</v>
      </c>
      <c r="M862" s="71" t="s">
        <v>2290</v>
      </c>
      <c r="N862" s="71" t="s">
        <v>119</v>
      </c>
      <c r="O862" s="72"/>
      <c r="P862" s="72"/>
      <c r="Q862" s="72"/>
      <c r="R862" s="72"/>
      <c r="S862" s="72"/>
      <c r="T862" s="72"/>
      <c r="U862" s="73"/>
    </row>
    <row r="863">
      <c r="A863" s="281"/>
      <c r="B863" s="70">
        <v>373.0</v>
      </c>
      <c r="C863" s="70"/>
      <c r="D863" s="220"/>
      <c r="E863" s="220"/>
      <c r="F863" s="70"/>
      <c r="G863" s="70"/>
      <c r="H863" s="70">
        <v>1.0</v>
      </c>
      <c r="I863" s="70">
        <v>1.0</v>
      </c>
      <c r="J863" s="70">
        <v>2.0</v>
      </c>
      <c r="K863" s="61"/>
      <c r="L863" s="61" t="s">
        <v>2291</v>
      </c>
      <c r="M863" s="71" t="s">
        <v>2292</v>
      </c>
      <c r="N863" s="71" t="s">
        <v>119</v>
      </c>
      <c r="O863" s="72"/>
      <c r="P863" s="72"/>
      <c r="Q863" s="72"/>
      <c r="R863" s="72"/>
      <c r="S863" s="72"/>
      <c r="T863" s="72"/>
      <c r="U863" s="73"/>
    </row>
    <row r="864">
      <c r="A864" s="281"/>
      <c r="B864" s="70">
        <v>373.0</v>
      </c>
      <c r="C864" s="70"/>
      <c r="D864" s="220"/>
      <c r="E864" s="220"/>
      <c r="F864" s="70"/>
      <c r="G864" s="70"/>
      <c r="H864" s="70">
        <v>1.0</v>
      </c>
      <c r="I864" s="70">
        <v>1.0</v>
      </c>
      <c r="J864" s="70">
        <v>2.0</v>
      </c>
      <c r="K864" s="61"/>
      <c r="L864" s="61" t="s">
        <v>2293</v>
      </c>
      <c r="M864" s="71" t="s">
        <v>2294</v>
      </c>
      <c r="N864" s="71" t="s">
        <v>119</v>
      </c>
      <c r="O864" s="72"/>
      <c r="P864" s="72"/>
      <c r="Q864" s="72"/>
      <c r="R864" s="72"/>
      <c r="S864" s="72"/>
      <c r="T864" s="72"/>
      <c r="U864" s="73"/>
    </row>
    <row r="865">
      <c r="A865" s="274"/>
      <c r="B865" s="62">
        <v>373.0</v>
      </c>
      <c r="C865" s="62"/>
      <c r="D865" s="127"/>
      <c r="E865" s="127"/>
      <c r="F865" s="62"/>
      <c r="G865" s="62"/>
      <c r="H865" s="62"/>
      <c r="I865" s="62">
        <v>1.0</v>
      </c>
      <c r="J865" s="62">
        <v>3.0</v>
      </c>
      <c r="K865" s="64" t="s">
        <v>2295</v>
      </c>
      <c r="L865" s="65"/>
      <c r="M865" s="66"/>
      <c r="N865" s="66"/>
      <c r="O865" s="66"/>
      <c r="P865" s="66"/>
      <c r="Q865" s="66"/>
      <c r="R865" s="66"/>
      <c r="S865" s="66"/>
      <c r="T865" s="66"/>
      <c r="U865" s="67"/>
    </row>
    <row r="866">
      <c r="A866" s="274"/>
      <c r="B866" s="62">
        <v>373.0</v>
      </c>
      <c r="C866" s="62"/>
      <c r="D866" s="127"/>
      <c r="E866" s="127"/>
      <c r="F866" s="62"/>
      <c r="G866" s="62"/>
      <c r="H866" s="62"/>
      <c r="I866" s="62">
        <v>1.0</v>
      </c>
      <c r="J866" s="62">
        <v>4.0</v>
      </c>
      <c r="K866" s="64" t="s">
        <v>2296</v>
      </c>
      <c r="L866" s="65"/>
      <c r="M866" s="66"/>
      <c r="N866" s="66"/>
      <c r="O866" s="66"/>
      <c r="P866" s="66"/>
      <c r="Q866" s="66"/>
      <c r="R866" s="66"/>
      <c r="S866" s="66"/>
      <c r="T866" s="66"/>
      <c r="U866" s="67"/>
    </row>
    <row r="867">
      <c r="A867" s="274"/>
      <c r="B867" s="62">
        <v>373.0</v>
      </c>
      <c r="C867" s="62"/>
      <c r="D867" s="127"/>
      <c r="E867" s="127"/>
      <c r="F867" s="62"/>
      <c r="G867" s="62"/>
      <c r="H867" s="62"/>
      <c r="I867" s="62">
        <v>1.0</v>
      </c>
      <c r="J867" s="62">
        <v>5.0</v>
      </c>
      <c r="K867" s="64" t="s">
        <v>2297</v>
      </c>
      <c r="L867" s="65"/>
      <c r="M867" s="66"/>
      <c r="N867" s="66"/>
      <c r="O867" s="66"/>
      <c r="P867" s="66"/>
      <c r="Q867" s="66"/>
      <c r="R867" s="66"/>
      <c r="S867" s="66"/>
      <c r="T867" s="66"/>
      <c r="U867" s="67"/>
    </row>
    <row r="868">
      <c r="A868" s="274"/>
      <c r="B868" s="62">
        <v>373.0</v>
      </c>
      <c r="C868" s="62"/>
      <c r="D868" s="127"/>
      <c r="E868" s="127"/>
      <c r="F868" s="62"/>
      <c r="G868" s="62"/>
      <c r="H868" s="62"/>
      <c r="I868" s="62">
        <v>1.0</v>
      </c>
      <c r="J868" s="62">
        <v>6.0</v>
      </c>
      <c r="K868" s="64" t="s">
        <v>2298</v>
      </c>
      <c r="L868" s="65"/>
      <c r="M868" s="66"/>
      <c r="N868" s="66"/>
      <c r="O868" s="66"/>
      <c r="P868" s="66"/>
      <c r="Q868" s="66"/>
      <c r="R868" s="66"/>
      <c r="S868" s="66"/>
      <c r="T868" s="66"/>
      <c r="U868" s="67"/>
    </row>
    <row r="869">
      <c r="A869" s="274"/>
      <c r="B869" s="62">
        <v>373.0</v>
      </c>
      <c r="C869" s="62"/>
      <c r="D869" s="127"/>
      <c r="E869" s="127"/>
      <c r="F869" s="62"/>
      <c r="G869" s="62"/>
      <c r="H869" s="62"/>
      <c r="I869" s="62">
        <v>1.0</v>
      </c>
      <c r="J869" s="62">
        <v>7.0</v>
      </c>
      <c r="K869" s="64" t="s">
        <v>2299</v>
      </c>
      <c r="L869" s="65"/>
      <c r="M869" s="66"/>
      <c r="N869" s="66"/>
      <c r="O869" s="66"/>
      <c r="P869" s="66"/>
      <c r="Q869" s="66"/>
      <c r="R869" s="66"/>
      <c r="S869" s="66"/>
      <c r="T869" s="66"/>
      <c r="U869" s="67"/>
    </row>
    <row r="870">
      <c r="A870" s="277"/>
      <c r="B870" s="105">
        <v>373.0</v>
      </c>
      <c r="C870" s="105"/>
      <c r="D870" s="129"/>
      <c r="E870" s="129"/>
      <c r="F870" s="105"/>
      <c r="G870" s="105"/>
      <c r="H870" s="105"/>
      <c r="I870" s="105"/>
      <c r="J870" s="105">
        <v>8.0</v>
      </c>
      <c r="K870" s="108" t="s">
        <v>2300</v>
      </c>
      <c r="L870" s="109"/>
      <c r="M870" s="110"/>
      <c r="N870" s="110"/>
      <c r="O870" s="110"/>
      <c r="P870" s="110"/>
      <c r="Q870" s="110"/>
      <c r="R870" s="110"/>
      <c r="S870" s="110"/>
      <c r="T870" s="110"/>
      <c r="U870" s="111"/>
    </row>
    <row r="871">
      <c r="A871" s="7"/>
      <c r="B871" s="8">
        <v>374.0</v>
      </c>
      <c r="C871" s="14" t="s">
        <v>2301</v>
      </c>
      <c r="D871" s="11"/>
      <c r="E871" s="11"/>
      <c r="F871" s="8" t="s">
        <v>2302</v>
      </c>
      <c r="G871" s="8">
        <v>2010.0</v>
      </c>
      <c r="H871" s="8"/>
      <c r="I871" s="8"/>
      <c r="J871" s="8"/>
      <c r="K871" s="16"/>
      <c r="L871" s="13"/>
      <c r="M871" s="15"/>
      <c r="N871" s="15"/>
      <c r="O871" s="15"/>
      <c r="P871" s="15"/>
      <c r="Q871" s="15"/>
      <c r="R871" s="15"/>
      <c r="S871" s="15"/>
      <c r="T871" s="15"/>
      <c r="U871" s="16"/>
    </row>
    <row r="872">
      <c r="A872" s="7"/>
      <c r="B872" s="8">
        <v>375.0</v>
      </c>
      <c r="C872" s="14" t="s">
        <v>2303</v>
      </c>
      <c r="D872" s="7" t="s">
        <v>1644</v>
      </c>
      <c r="E872" s="11"/>
      <c r="F872" s="8" t="s">
        <v>2304</v>
      </c>
      <c r="G872" s="8">
        <v>2001.0</v>
      </c>
      <c r="H872" s="8"/>
      <c r="I872" s="8"/>
      <c r="J872" s="8"/>
      <c r="K872" s="16"/>
      <c r="L872" s="13"/>
      <c r="M872" s="15"/>
      <c r="N872" s="15"/>
      <c r="O872" s="15"/>
      <c r="P872" s="15"/>
      <c r="Q872" s="15"/>
      <c r="R872" s="15"/>
      <c r="S872" s="15"/>
      <c r="T872" s="15"/>
      <c r="U872" s="16"/>
    </row>
    <row r="873">
      <c r="A873" s="7"/>
      <c r="B873" s="8">
        <v>376.0</v>
      </c>
      <c r="C873" s="14" t="s">
        <v>2305</v>
      </c>
      <c r="D873" s="7" t="s">
        <v>307</v>
      </c>
      <c r="E873" s="11"/>
      <c r="F873" s="8" t="s">
        <v>2306</v>
      </c>
      <c r="G873" s="8">
        <v>2003.0</v>
      </c>
      <c r="H873" s="8"/>
      <c r="I873" s="8"/>
      <c r="J873" s="8"/>
      <c r="K873" s="16"/>
      <c r="L873" s="13"/>
      <c r="M873" s="15"/>
      <c r="N873" s="15"/>
      <c r="O873" s="15"/>
      <c r="P873" s="15"/>
      <c r="Q873" s="15"/>
      <c r="R873" s="15"/>
      <c r="S873" s="15"/>
      <c r="T873" s="15"/>
      <c r="U873" s="16"/>
    </row>
    <row r="874">
      <c r="A874" s="7"/>
      <c r="B874" s="8">
        <v>377.0</v>
      </c>
      <c r="C874" s="14" t="s">
        <v>2307</v>
      </c>
      <c r="D874" s="41" t="s">
        <v>48</v>
      </c>
      <c r="E874" s="7" t="s">
        <v>32</v>
      </c>
      <c r="F874" s="8" t="s">
        <v>353</v>
      </c>
      <c r="G874" s="8">
        <v>2000.0</v>
      </c>
      <c r="H874" s="8"/>
      <c r="I874" s="8"/>
      <c r="J874" s="8"/>
      <c r="K874" s="16" t="s">
        <v>2308</v>
      </c>
      <c r="L874" s="13"/>
      <c r="M874" s="15"/>
      <c r="N874" s="15"/>
      <c r="O874" s="15"/>
      <c r="P874" s="15"/>
      <c r="Q874" s="15"/>
      <c r="R874" s="15"/>
      <c r="S874" s="15"/>
      <c r="T874" s="15"/>
      <c r="U874" s="16"/>
    </row>
    <row r="875">
      <c r="A875" s="7"/>
      <c r="B875" s="8">
        <v>378.0</v>
      </c>
      <c r="C875" s="14" t="s">
        <v>2309</v>
      </c>
      <c r="D875" s="7" t="s">
        <v>307</v>
      </c>
      <c r="E875" s="11"/>
      <c r="F875" s="8" t="s">
        <v>2310</v>
      </c>
      <c r="G875" s="8">
        <v>2014.0</v>
      </c>
      <c r="H875" s="8"/>
      <c r="I875" s="8"/>
      <c r="J875" s="8"/>
      <c r="K875" s="16"/>
      <c r="L875" s="13"/>
      <c r="M875" s="15"/>
      <c r="N875" s="15"/>
      <c r="O875" s="15"/>
      <c r="P875" s="15"/>
      <c r="Q875" s="15"/>
      <c r="R875" s="15"/>
      <c r="S875" s="15"/>
      <c r="T875" s="15"/>
      <c r="U875" s="16"/>
    </row>
    <row r="876">
      <c r="A876" s="7"/>
      <c r="B876" s="8">
        <v>379.0</v>
      </c>
      <c r="C876" s="14" t="s">
        <v>2311</v>
      </c>
      <c r="D876" s="7" t="s">
        <v>2312</v>
      </c>
      <c r="E876" s="7"/>
      <c r="F876" s="8" t="s">
        <v>1848</v>
      </c>
      <c r="G876" s="8">
        <v>2019.0</v>
      </c>
      <c r="H876" s="8"/>
      <c r="I876" s="8"/>
      <c r="J876" s="8"/>
      <c r="K876" s="16"/>
      <c r="L876" s="13"/>
      <c r="M876" s="15"/>
      <c r="N876" s="15"/>
      <c r="O876" s="15"/>
      <c r="P876" s="15"/>
      <c r="Q876" s="15"/>
      <c r="R876" s="15"/>
      <c r="S876" s="15"/>
      <c r="T876" s="15"/>
      <c r="U876" s="16"/>
    </row>
    <row r="877">
      <c r="A877" s="7">
        <v>1.0</v>
      </c>
      <c r="B877" s="8">
        <v>380.0</v>
      </c>
      <c r="C877" s="314" t="s">
        <v>2313</v>
      </c>
      <c r="D877" s="41" t="s">
        <v>48</v>
      </c>
      <c r="E877" s="41" t="s">
        <v>32</v>
      </c>
      <c r="F877" s="43" t="s">
        <v>2314</v>
      </c>
      <c r="G877" s="43">
        <v>2011.0</v>
      </c>
      <c r="H877" s="43">
        <v>1.0</v>
      </c>
      <c r="I877" s="43">
        <v>1.0</v>
      </c>
      <c r="J877" s="43">
        <v>1.0</v>
      </c>
      <c r="K877" s="45" t="s">
        <v>2315</v>
      </c>
      <c r="L877" s="45" t="s">
        <v>2316</v>
      </c>
      <c r="M877" s="44" t="s">
        <v>2317</v>
      </c>
      <c r="N877" s="44" t="s">
        <v>128</v>
      </c>
      <c r="O877" s="47"/>
      <c r="P877" s="47"/>
      <c r="Q877" s="47"/>
      <c r="R877" s="47"/>
      <c r="S877" s="47"/>
      <c r="T877" s="47"/>
      <c r="U877" s="45"/>
    </row>
    <row r="878">
      <c r="A878" s="7"/>
      <c r="B878" s="8"/>
      <c r="C878" s="43"/>
      <c r="D878" s="41"/>
      <c r="E878" s="41"/>
      <c r="F878" s="43"/>
      <c r="G878" s="43"/>
      <c r="H878" s="43">
        <v>1.0</v>
      </c>
      <c r="I878" s="43">
        <v>1.0</v>
      </c>
      <c r="J878" s="43">
        <v>2.0</v>
      </c>
      <c r="K878" s="45" t="s">
        <v>2318</v>
      </c>
      <c r="L878" s="45" t="s">
        <v>2319</v>
      </c>
      <c r="M878" s="44" t="s">
        <v>2320</v>
      </c>
      <c r="N878" s="44" t="s">
        <v>128</v>
      </c>
      <c r="O878" s="47"/>
      <c r="P878" s="47"/>
      <c r="Q878" s="47"/>
      <c r="R878" s="47"/>
      <c r="S878" s="47"/>
      <c r="T878" s="47"/>
      <c r="U878" s="45"/>
    </row>
    <row r="879">
      <c r="A879" s="22"/>
      <c r="B879" s="62"/>
      <c r="C879" s="62"/>
      <c r="D879" s="22"/>
      <c r="E879" s="127"/>
      <c r="F879" s="62"/>
      <c r="G879" s="62"/>
      <c r="H879" s="62"/>
      <c r="I879" s="62">
        <v>2.0</v>
      </c>
      <c r="J879" s="62">
        <v>3.0</v>
      </c>
      <c r="K879" s="64" t="s">
        <v>2321</v>
      </c>
      <c r="L879" s="64" t="s">
        <v>2322</v>
      </c>
      <c r="M879" s="66"/>
      <c r="N879" s="66"/>
      <c r="O879" s="66"/>
      <c r="P879" s="66"/>
      <c r="Q879" s="66"/>
      <c r="R879" s="66"/>
      <c r="S879" s="66"/>
      <c r="T879" s="66"/>
      <c r="U879" s="64"/>
    </row>
    <row r="880">
      <c r="A880" s="7">
        <v>1.0</v>
      </c>
      <c r="B880" s="8"/>
      <c r="C880" s="43"/>
      <c r="D880" s="41"/>
      <c r="E880" s="94"/>
      <c r="F880" s="43"/>
      <c r="G880" s="43"/>
      <c r="H880" s="43">
        <v>2.0</v>
      </c>
      <c r="I880" s="43">
        <v>2.0</v>
      </c>
      <c r="J880" s="43">
        <v>4.0</v>
      </c>
      <c r="K880" s="45" t="s">
        <v>2323</v>
      </c>
      <c r="L880" s="45" t="s">
        <v>2324</v>
      </c>
      <c r="M880" s="44" t="s">
        <v>2325</v>
      </c>
      <c r="N880" s="44" t="s">
        <v>169</v>
      </c>
      <c r="O880" s="47"/>
      <c r="P880" s="47"/>
      <c r="Q880" s="47"/>
      <c r="R880" s="47"/>
      <c r="S880" s="47"/>
      <c r="T880" s="47"/>
      <c r="U880" s="45"/>
    </row>
    <row r="881">
      <c r="A881" s="7">
        <v>1.0</v>
      </c>
      <c r="B881" s="8"/>
      <c r="C881" s="70"/>
      <c r="D881" s="68"/>
      <c r="E881" s="220"/>
      <c r="F881" s="70"/>
      <c r="G881" s="70"/>
      <c r="H881" s="70">
        <v>3.0</v>
      </c>
      <c r="I881" s="70">
        <v>3.0</v>
      </c>
      <c r="J881" s="70">
        <v>5.0</v>
      </c>
      <c r="K881" s="61" t="s">
        <v>2326</v>
      </c>
      <c r="L881" s="61" t="s">
        <v>2327</v>
      </c>
      <c r="M881" s="315" t="s">
        <v>2328</v>
      </c>
      <c r="N881" s="315" t="s">
        <v>569</v>
      </c>
      <c r="O881" s="72"/>
      <c r="P881" s="72"/>
      <c r="Q881" s="72"/>
      <c r="R881" s="72"/>
      <c r="S881" s="72"/>
      <c r="T881" s="72"/>
      <c r="U881" s="61"/>
    </row>
    <row r="882">
      <c r="A882" s="7"/>
      <c r="B882" s="8"/>
      <c r="C882" s="43"/>
      <c r="D882" s="41"/>
      <c r="E882" s="94"/>
      <c r="F882" s="43"/>
      <c r="G882" s="43"/>
      <c r="H882" s="43"/>
      <c r="I882" s="43"/>
      <c r="J882" s="43" t="s">
        <v>835</v>
      </c>
      <c r="K882" s="45"/>
      <c r="L882" s="45" t="s">
        <v>2329</v>
      </c>
      <c r="M882" s="44" t="s">
        <v>2330</v>
      </c>
      <c r="N882" s="44"/>
      <c r="O882" s="47"/>
      <c r="P882" s="47"/>
      <c r="Q882" s="47"/>
      <c r="R882" s="47"/>
      <c r="S882" s="47"/>
      <c r="T882" s="47"/>
      <c r="U882" s="45"/>
    </row>
    <row r="883">
      <c r="A883" s="22"/>
      <c r="B883" s="62"/>
      <c r="C883" s="62"/>
      <c r="D883" s="22"/>
      <c r="E883" s="127"/>
      <c r="F883" s="62"/>
      <c r="G883" s="62"/>
      <c r="H883" s="62"/>
      <c r="I883" s="62">
        <v>3.0</v>
      </c>
      <c r="J883" s="62" t="s">
        <v>838</v>
      </c>
      <c r="K883" s="64" t="s">
        <v>2331</v>
      </c>
      <c r="L883" s="62" t="s">
        <v>2332</v>
      </c>
      <c r="M883" s="63"/>
      <c r="N883" s="63" t="s">
        <v>2333</v>
      </c>
      <c r="O883" s="66"/>
      <c r="P883" s="66"/>
      <c r="Q883" s="66"/>
      <c r="R883" s="66"/>
      <c r="S883" s="66"/>
      <c r="T883" s="66"/>
      <c r="U883" s="64"/>
    </row>
    <row r="884">
      <c r="A884" s="41"/>
      <c r="B884" s="43"/>
      <c r="C884" s="43"/>
      <c r="D884" s="41"/>
      <c r="E884" s="94"/>
      <c r="F884" s="43"/>
      <c r="G884" s="43"/>
      <c r="H884" s="43"/>
      <c r="I884" s="43">
        <v>3.0</v>
      </c>
      <c r="J884" s="43" t="s">
        <v>2334</v>
      </c>
      <c r="K884" s="45" t="s">
        <v>2335</v>
      </c>
      <c r="L884" s="43" t="s">
        <v>2336</v>
      </c>
      <c r="M884" s="44" t="s">
        <v>2337</v>
      </c>
      <c r="N884" s="44"/>
      <c r="O884" s="47"/>
      <c r="P884" s="47"/>
      <c r="Q884" s="47"/>
      <c r="R884" s="47"/>
      <c r="S884" s="47"/>
      <c r="T884" s="47"/>
      <c r="U884" s="45"/>
    </row>
    <row r="885">
      <c r="A885" s="41"/>
      <c r="B885" s="43"/>
      <c r="C885" s="43"/>
      <c r="D885" s="41"/>
      <c r="E885" s="94"/>
      <c r="F885" s="43"/>
      <c r="G885" s="43"/>
      <c r="H885" s="43"/>
      <c r="I885" s="43">
        <v>3.0</v>
      </c>
      <c r="J885" s="43" t="s">
        <v>2338</v>
      </c>
      <c r="K885" s="45" t="s">
        <v>2339</v>
      </c>
      <c r="L885" s="45" t="s">
        <v>2340</v>
      </c>
      <c r="M885" s="44" t="s">
        <v>2341</v>
      </c>
      <c r="N885" s="44"/>
      <c r="O885" s="47"/>
      <c r="P885" s="47"/>
      <c r="Q885" s="47"/>
      <c r="R885" s="47"/>
      <c r="S885" s="47"/>
      <c r="T885" s="47"/>
      <c r="U885" s="45"/>
    </row>
    <row r="886">
      <c r="A886" s="22"/>
      <c r="B886" s="62"/>
      <c r="C886" s="62"/>
      <c r="D886" s="22"/>
      <c r="E886" s="127"/>
      <c r="F886" s="62"/>
      <c r="G886" s="62"/>
      <c r="H886" s="62"/>
      <c r="I886" s="62">
        <v>3.0</v>
      </c>
      <c r="J886" s="62" t="s">
        <v>2342</v>
      </c>
      <c r="K886" s="64" t="s">
        <v>2343</v>
      </c>
      <c r="L886" s="64" t="s">
        <v>2344</v>
      </c>
      <c r="M886" s="63"/>
      <c r="N886" s="63" t="s">
        <v>2345</v>
      </c>
      <c r="O886" s="66"/>
      <c r="P886" s="66"/>
      <c r="Q886" s="66"/>
      <c r="R886" s="66"/>
      <c r="S886" s="66"/>
      <c r="T886" s="66"/>
      <c r="U886" s="64"/>
    </row>
    <row r="887">
      <c r="A887" s="7"/>
      <c r="B887" s="8">
        <v>381.0</v>
      </c>
      <c r="C887" s="14" t="s">
        <v>2346</v>
      </c>
      <c r="D887" s="7" t="s">
        <v>307</v>
      </c>
      <c r="E887" s="11"/>
      <c r="F887" s="8" t="s">
        <v>350</v>
      </c>
      <c r="G887" s="8">
        <v>2008.0</v>
      </c>
      <c r="H887" s="8"/>
      <c r="I887" s="8"/>
      <c r="J887" s="8"/>
      <c r="K887" s="16"/>
      <c r="L887" s="13"/>
      <c r="M887" s="15"/>
      <c r="N887" s="15"/>
      <c r="O887" s="15"/>
      <c r="P887" s="15"/>
      <c r="Q887" s="15"/>
      <c r="R887" s="15"/>
      <c r="S887" s="15"/>
      <c r="T887" s="15"/>
      <c r="U887" s="16"/>
    </row>
    <row r="888">
      <c r="A888" s="7"/>
      <c r="B888" s="8">
        <v>382.0</v>
      </c>
      <c r="C888" s="14" t="s">
        <v>2347</v>
      </c>
      <c r="D888" s="41" t="s">
        <v>48</v>
      </c>
      <c r="E888" s="7" t="s">
        <v>32</v>
      </c>
      <c r="F888" s="8" t="s">
        <v>513</v>
      </c>
      <c r="G888" s="8">
        <v>2012.0</v>
      </c>
      <c r="H888" s="8"/>
      <c r="I888" s="8"/>
      <c r="J888" s="8"/>
      <c r="K888" s="16"/>
      <c r="L888" s="13"/>
      <c r="M888" s="15"/>
      <c r="N888" s="15"/>
      <c r="O888" s="15"/>
      <c r="P888" s="15"/>
      <c r="Q888" s="15"/>
      <c r="R888" s="15"/>
      <c r="S888" s="15"/>
      <c r="T888" s="15"/>
      <c r="U888" s="16"/>
    </row>
    <row r="889">
      <c r="A889" s="7"/>
      <c r="B889" s="8">
        <v>383.0</v>
      </c>
      <c r="C889" s="14" t="s">
        <v>2348</v>
      </c>
      <c r="D889" s="7" t="s">
        <v>307</v>
      </c>
      <c r="E889" s="11"/>
      <c r="F889" s="8" t="s">
        <v>175</v>
      </c>
      <c r="G889" s="8">
        <v>2006.0</v>
      </c>
      <c r="H889" s="8"/>
      <c r="I889" s="8"/>
      <c r="J889" s="8"/>
      <c r="K889" s="16"/>
      <c r="L889" s="13"/>
      <c r="M889" s="15"/>
      <c r="N889" s="15"/>
      <c r="O889" s="15"/>
      <c r="P889" s="15"/>
      <c r="Q889" s="15"/>
      <c r="R889" s="15"/>
      <c r="S889" s="15"/>
      <c r="T889" s="15"/>
      <c r="U889" s="16"/>
    </row>
    <row r="890">
      <c r="A890" s="7"/>
      <c r="B890" s="8">
        <v>384.0</v>
      </c>
      <c r="C890" s="14" t="s">
        <v>2349</v>
      </c>
      <c r="D890" s="7" t="s">
        <v>2225</v>
      </c>
      <c r="E890" s="11"/>
      <c r="F890" s="8" t="s">
        <v>2350</v>
      </c>
      <c r="G890" s="8">
        <v>2012.0</v>
      </c>
      <c r="H890" s="8"/>
      <c r="I890" s="8"/>
      <c r="J890" s="8"/>
      <c r="K890" s="16"/>
      <c r="L890" s="13"/>
      <c r="M890" s="15"/>
      <c r="N890" s="15"/>
      <c r="O890" s="15"/>
      <c r="P890" s="15"/>
      <c r="Q890" s="15"/>
      <c r="R890" s="15"/>
      <c r="S890" s="15"/>
      <c r="T890" s="15"/>
      <c r="U890" s="16"/>
    </row>
    <row r="891">
      <c r="A891" s="7"/>
      <c r="B891" s="8">
        <v>385.0</v>
      </c>
      <c r="C891" s="14" t="s">
        <v>2351</v>
      </c>
      <c r="D891" s="7" t="s">
        <v>31</v>
      </c>
      <c r="E891" s="11"/>
      <c r="F891" s="8" t="s">
        <v>2352</v>
      </c>
      <c r="G891" s="8">
        <v>2017.0</v>
      </c>
      <c r="H891" s="8"/>
      <c r="I891" s="8"/>
      <c r="J891" s="8"/>
      <c r="K891" s="16"/>
      <c r="L891" s="13"/>
      <c r="M891" s="15"/>
      <c r="N891" s="15"/>
      <c r="O891" s="15"/>
      <c r="P891" s="15"/>
      <c r="Q891" s="15"/>
      <c r="R891" s="15"/>
      <c r="S891" s="15"/>
      <c r="T891" s="15"/>
      <c r="U891" s="16"/>
    </row>
    <row r="892">
      <c r="A892" s="7"/>
      <c r="B892" s="8">
        <v>386.0</v>
      </c>
      <c r="C892" s="14" t="s">
        <v>2353</v>
      </c>
      <c r="D892" s="7" t="s">
        <v>31</v>
      </c>
      <c r="E892" s="11"/>
      <c r="F892" s="8" t="s">
        <v>2354</v>
      </c>
      <c r="G892" s="8">
        <v>2013.0</v>
      </c>
      <c r="H892" s="8"/>
      <c r="I892" s="8"/>
      <c r="J892" s="8"/>
      <c r="K892" s="16"/>
      <c r="L892" s="13"/>
      <c r="M892" s="15"/>
      <c r="N892" s="15"/>
      <c r="O892" s="15"/>
      <c r="P892" s="15"/>
      <c r="Q892" s="15"/>
      <c r="R892" s="15"/>
      <c r="S892" s="15"/>
      <c r="T892" s="15"/>
      <c r="U892" s="16"/>
    </row>
    <row r="893">
      <c r="A893" s="7"/>
      <c r="B893" s="8">
        <v>387.0</v>
      </c>
      <c r="C893" s="14" t="s">
        <v>2355</v>
      </c>
      <c r="D893" s="7" t="s">
        <v>31</v>
      </c>
      <c r="E893" s="11"/>
      <c r="F893" s="8" t="s">
        <v>593</v>
      </c>
      <c r="G893" s="8">
        <v>2001.0</v>
      </c>
      <c r="H893" s="8"/>
      <c r="I893" s="8"/>
      <c r="J893" s="8"/>
      <c r="K893" s="16"/>
      <c r="L893" s="13"/>
      <c r="M893" s="15"/>
      <c r="N893" s="15"/>
      <c r="O893" s="15"/>
      <c r="P893" s="15"/>
      <c r="Q893" s="15"/>
      <c r="R893" s="15"/>
      <c r="S893" s="15"/>
      <c r="T893" s="15"/>
      <c r="U893" s="16"/>
    </row>
    <row r="894">
      <c r="A894" s="7"/>
      <c r="B894" s="8">
        <v>388.0</v>
      </c>
      <c r="C894" s="14" t="s">
        <v>2356</v>
      </c>
      <c r="D894" s="7" t="s">
        <v>307</v>
      </c>
      <c r="E894" s="11"/>
      <c r="F894" s="8" t="s">
        <v>1837</v>
      </c>
      <c r="G894" s="8">
        <v>2007.0</v>
      </c>
      <c r="H894" s="8"/>
      <c r="I894" s="8"/>
      <c r="J894" s="8"/>
      <c r="K894" s="16"/>
      <c r="L894" s="13"/>
      <c r="M894" s="15"/>
      <c r="N894" s="15"/>
      <c r="O894" s="15"/>
      <c r="P894" s="15"/>
      <c r="Q894" s="15"/>
      <c r="R894" s="15"/>
      <c r="S894" s="15"/>
      <c r="T894" s="15"/>
      <c r="U894" s="16"/>
    </row>
    <row r="895">
      <c r="A895" s="7"/>
      <c r="B895" s="8">
        <v>389.0</v>
      </c>
      <c r="C895" s="14" t="s">
        <v>2357</v>
      </c>
      <c r="D895" s="7" t="s">
        <v>149</v>
      </c>
      <c r="E895" s="11"/>
      <c r="F895" s="8" t="s">
        <v>2358</v>
      </c>
      <c r="G895" s="8">
        <v>2013.0</v>
      </c>
      <c r="H895" s="8"/>
      <c r="I895" s="8"/>
      <c r="J895" s="8"/>
      <c r="K895" s="16"/>
      <c r="L895" s="13"/>
      <c r="M895" s="15"/>
      <c r="N895" s="15"/>
      <c r="O895" s="15"/>
      <c r="P895" s="15"/>
      <c r="Q895" s="15"/>
      <c r="R895" s="15"/>
      <c r="S895" s="15"/>
      <c r="T895" s="15"/>
      <c r="U895" s="16"/>
    </row>
    <row r="896">
      <c r="A896" s="7"/>
      <c r="B896" s="8">
        <v>390.0</v>
      </c>
      <c r="C896" s="14" t="s">
        <v>2359</v>
      </c>
      <c r="D896" s="41" t="s">
        <v>2360</v>
      </c>
      <c r="E896" s="7" t="s">
        <v>32</v>
      </c>
      <c r="F896" s="8" t="s">
        <v>2361</v>
      </c>
      <c r="G896" s="8">
        <v>2019.0</v>
      </c>
      <c r="H896" s="8"/>
      <c r="I896" s="8"/>
      <c r="J896" s="8"/>
      <c r="K896" s="16"/>
      <c r="L896" s="13"/>
      <c r="M896" s="15"/>
      <c r="N896" s="15"/>
      <c r="O896" s="15"/>
      <c r="P896" s="15"/>
      <c r="Q896" s="15"/>
      <c r="R896" s="15"/>
      <c r="S896" s="15"/>
      <c r="T896" s="15"/>
      <c r="U896" s="16"/>
    </row>
    <row r="897">
      <c r="A897" s="7"/>
      <c r="B897" s="8">
        <v>391.0</v>
      </c>
      <c r="C897" s="14" t="s">
        <v>2362</v>
      </c>
      <c r="D897" s="7" t="s">
        <v>307</v>
      </c>
      <c r="E897" s="11"/>
      <c r="F897" s="8" t="s">
        <v>2363</v>
      </c>
      <c r="G897" s="8">
        <v>2004.0</v>
      </c>
      <c r="H897" s="8"/>
      <c r="I897" s="8"/>
      <c r="J897" s="8"/>
      <c r="K897" s="16"/>
      <c r="L897" s="13"/>
      <c r="M897" s="15"/>
      <c r="N897" s="15"/>
      <c r="O897" s="15"/>
      <c r="P897" s="15"/>
      <c r="Q897" s="15"/>
      <c r="R897" s="15"/>
      <c r="S897" s="15"/>
      <c r="T897" s="15"/>
      <c r="U897" s="16"/>
    </row>
    <row r="898">
      <c r="A898" s="7"/>
      <c r="B898" s="8">
        <v>392.0</v>
      </c>
      <c r="C898" s="14" t="s">
        <v>2364</v>
      </c>
      <c r="D898" s="7" t="s">
        <v>2365</v>
      </c>
      <c r="E898" s="11"/>
      <c r="F898" s="8" t="s">
        <v>2366</v>
      </c>
      <c r="G898" s="8">
        <v>2001.0</v>
      </c>
      <c r="H898" s="8"/>
      <c r="I898" s="8"/>
      <c r="J898" s="8"/>
      <c r="K898" s="16"/>
      <c r="L898" s="13"/>
      <c r="M898" s="15"/>
      <c r="N898" s="15"/>
      <c r="O898" s="15"/>
      <c r="P898" s="15"/>
      <c r="Q898" s="15"/>
      <c r="R898" s="15"/>
      <c r="S898" s="15"/>
      <c r="T898" s="15"/>
      <c r="U898" s="16"/>
    </row>
    <row r="899">
      <c r="A899" s="7"/>
      <c r="B899" s="8">
        <v>393.0</v>
      </c>
      <c r="C899" s="14" t="s">
        <v>2367</v>
      </c>
      <c r="D899" s="7" t="s">
        <v>307</v>
      </c>
      <c r="E899" s="11"/>
      <c r="F899" s="8" t="s">
        <v>2368</v>
      </c>
      <c r="G899" s="8">
        <v>2001.0</v>
      </c>
      <c r="H899" s="8"/>
      <c r="I899" s="8"/>
      <c r="J899" s="8"/>
      <c r="K899" s="16"/>
      <c r="L899" s="13"/>
      <c r="M899" s="15"/>
      <c r="N899" s="15"/>
      <c r="O899" s="15"/>
      <c r="P899" s="15"/>
      <c r="Q899" s="15"/>
      <c r="R899" s="15"/>
      <c r="S899" s="15"/>
      <c r="T899" s="15"/>
      <c r="U899" s="16"/>
    </row>
    <row r="900">
      <c r="A900" s="7"/>
      <c r="B900" s="8">
        <v>394.0</v>
      </c>
      <c r="C900" s="14" t="s">
        <v>2369</v>
      </c>
      <c r="D900" s="41" t="s">
        <v>48</v>
      </c>
      <c r="E900" s="7" t="s">
        <v>32</v>
      </c>
      <c r="F900" s="8" t="s">
        <v>516</v>
      </c>
      <c r="G900" s="8">
        <v>2014.0</v>
      </c>
      <c r="H900" s="8"/>
      <c r="I900" s="8"/>
      <c r="J900" s="8"/>
      <c r="K900" s="16"/>
      <c r="L900" s="13"/>
      <c r="M900" s="15"/>
      <c r="N900" s="15"/>
      <c r="O900" s="15"/>
      <c r="P900" s="15"/>
      <c r="Q900" s="15"/>
      <c r="R900" s="15"/>
      <c r="S900" s="15"/>
      <c r="T900" s="15"/>
      <c r="U900" s="16"/>
    </row>
    <row r="901">
      <c r="A901" s="7"/>
      <c r="B901" s="8">
        <v>395.0</v>
      </c>
      <c r="C901" s="14" t="s">
        <v>2370</v>
      </c>
      <c r="D901" s="7" t="s">
        <v>307</v>
      </c>
      <c r="E901" s="11"/>
      <c r="F901" s="8" t="s">
        <v>1735</v>
      </c>
      <c r="G901" s="8">
        <v>2013.0</v>
      </c>
      <c r="H901" s="8"/>
      <c r="I901" s="8"/>
      <c r="J901" s="8"/>
      <c r="K901" s="16"/>
      <c r="L901" s="13"/>
      <c r="M901" s="15"/>
      <c r="N901" s="15"/>
      <c r="O901" s="15"/>
      <c r="P901" s="15"/>
      <c r="Q901" s="15"/>
      <c r="R901" s="15"/>
      <c r="S901" s="15"/>
      <c r="T901" s="15"/>
      <c r="U901" s="16"/>
    </row>
    <row r="902">
      <c r="A902" s="7"/>
      <c r="B902" s="8">
        <v>396.0</v>
      </c>
      <c r="C902" s="14" t="s">
        <v>2371</v>
      </c>
      <c r="D902" s="7" t="s">
        <v>1464</v>
      </c>
      <c r="E902" s="11"/>
      <c r="F902" s="8" t="s">
        <v>2372</v>
      </c>
      <c r="G902" s="8">
        <v>2008.0</v>
      </c>
      <c r="H902" s="8"/>
      <c r="I902" s="8"/>
      <c r="J902" s="8"/>
      <c r="K902" s="16"/>
      <c r="L902" s="13"/>
      <c r="M902" s="15"/>
      <c r="N902" s="15"/>
      <c r="O902" s="15"/>
      <c r="P902" s="15"/>
      <c r="Q902" s="15"/>
      <c r="R902" s="15"/>
      <c r="S902" s="15"/>
      <c r="T902" s="15"/>
      <c r="U902" s="16"/>
    </row>
    <row r="903">
      <c r="A903" s="7"/>
      <c r="B903" s="8">
        <v>397.0</v>
      </c>
      <c r="C903" s="14" t="s">
        <v>2373</v>
      </c>
      <c r="D903" s="41" t="s">
        <v>48</v>
      </c>
      <c r="E903" s="7" t="s">
        <v>32</v>
      </c>
      <c r="F903" s="8" t="s">
        <v>2374</v>
      </c>
      <c r="G903" s="8">
        <v>2006.0</v>
      </c>
      <c r="H903" s="8"/>
      <c r="I903" s="8"/>
      <c r="J903" s="8"/>
      <c r="K903" s="16"/>
      <c r="L903" s="13"/>
      <c r="M903" s="15"/>
      <c r="N903" s="15"/>
      <c r="O903" s="15"/>
      <c r="P903" s="15"/>
      <c r="Q903" s="15"/>
      <c r="R903" s="15"/>
      <c r="S903" s="15"/>
      <c r="T903" s="15"/>
      <c r="U903" s="16"/>
    </row>
    <row r="904">
      <c r="A904" s="7"/>
      <c r="B904" s="8">
        <v>398.0</v>
      </c>
      <c r="C904" s="14" t="s">
        <v>2375</v>
      </c>
      <c r="D904" s="7" t="s">
        <v>2225</v>
      </c>
      <c r="E904" s="11"/>
      <c r="F904" s="8" t="s">
        <v>2376</v>
      </c>
      <c r="G904" s="8">
        <v>2012.0</v>
      </c>
      <c r="H904" s="8"/>
      <c r="I904" s="8"/>
      <c r="J904" s="8"/>
      <c r="K904" s="16"/>
      <c r="L904" s="13"/>
      <c r="M904" s="15"/>
      <c r="N904" s="15"/>
      <c r="O904" s="15"/>
      <c r="P904" s="15"/>
      <c r="Q904" s="15"/>
      <c r="R904" s="15"/>
      <c r="S904" s="15"/>
      <c r="T904" s="15"/>
      <c r="U904" s="16"/>
    </row>
    <row r="905">
      <c r="A905" s="7"/>
      <c r="B905" s="8">
        <v>399.0</v>
      </c>
      <c r="C905" s="14" t="s">
        <v>2377</v>
      </c>
      <c r="D905" s="41" t="s">
        <v>48</v>
      </c>
      <c r="E905" s="7" t="s">
        <v>32</v>
      </c>
      <c r="F905" s="8" t="s">
        <v>2378</v>
      </c>
      <c r="G905" s="8">
        <v>2005.0</v>
      </c>
      <c r="H905" s="8"/>
      <c r="I905" s="8"/>
      <c r="J905" s="8"/>
      <c r="K905" s="16"/>
      <c r="L905" s="13"/>
      <c r="M905" s="15"/>
      <c r="N905" s="15"/>
      <c r="O905" s="15"/>
      <c r="P905" s="15"/>
      <c r="Q905" s="15"/>
      <c r="R905" s="15"/>
      <c r="S905" s="15"/>
      <c r="T905" s="15"/>
      <c r="U905" s="16"/>
    </row>
    <row r="906">
      <c r="A906" s="316"/>
      <c r="B906" s="317">
        <v>400.0</v>
      </c>
      <c r="C906" s="318" t="s">
        <v>2379</v>
      </c>
      <c r="D906" s="316" t="s">
        <v>22</v>
      </c>
      <c r="E906" s="11"/>
      <c r="F906" s="8" t="s">
        <v>2380</v>
      </c>
      <c r="G906" s="8">
        <v>2014.0</v>
      </c>
      <c r="H906" s="8"/>
      <c r="I906" s="8"/>
      <c r="J906" s="8"/>
      <c r="K906" s="16"/>
      <c r="L906" s="13"/>
      <c r="M906" s="15"/>
      <c r="N906" s="15"/>
      <c r="O906" s="15"/>
      <c r="P906" s="15"/>
      <c r="Q906" s="15"/>
      <c r="R906" s="15"/>
      <c r="S906" s="15"/>
      <c r="T906" s="15"/>
      <c r="U906" s="16"/>
    </row>
    <row r="907">
      <c r="A907" s="7"/>
      <c r="B907" s="8"/>
      <c r="C907" s="319" t="s">
        <v>2381</v>
      </c>
      <c r="D907" s="320">
        <f>100*0.23*1.2</f>
        <v>27.6</v>
      </c>
      <c r="E907" s="11"/>
      <c r="F907" s="12"/>
      <c r="G907" s="12"/>
      <c r="H907" s="8"/>
      <c r="I907" s="8"/>
      <c r="J907" s="8"/>
      <c r="K907" s="16"/>
      <c r="L907" s="13"/>
      <c r="M907" s="15"/>
      <c r="N907" s="15"/>
      <c r="O907" s="15"/>
      <c r="P907" s="15"/>
      <c r="Q907" s="15"/>
      <c r="R907" s="15"/>
      <c r="S907" s="15"/>
      <c r="T907" s="15"/>
      <c r="U907" s="16"/>
    </row>
    <row r="908">
      <c r="A908" s="7"/>
      <c r="B908" s="8"/>
      <c r="C908" s="319" t="s">
        <v>2382</v>
      </c>
      <c r="D908" s="321">
        <f>SUM(A710:A906)</f>
        <v>25</v>
      </c>
      <c r="E908" s="322" t="s">
        <v>2383</v>
      </c>
      <c r="F908" s="12"/>
      <c r="G908" s="12"/>
      <c r="H908" s="8"/>
      <c r="I908" s="8"/>
      <c r="J908" s="8"/>
      <c r="K908" s="16"/>
      <c r="L908" s="13"/>
      <c r="M908" s="15"/>
      <c r="N908" s="15"/>
      <c r="O908" s="15"/>
      <c r="P908" s="15"/>
      <c r="Q908" s="15"/>
      <c r="R908" s="15"/>
      <c r="S908" s="15"/>
      <c r="T908" s="15"/>
      <c r="U908" s="16"/>
    </row>
    <row r="909">
      <c r="A909" s="7"/>
      <c r="B909" s="8"/>
      <c r="C909" s="8"/>
      <c r="D909" s="11"/>
      <c r="E909" s="11"/>
      <c r="F909" s="12"/>
      <c r="G909" s="12"/>
      <c r="H909" s="8"/>
      <c r="I909" s="8"/>
      <c r="J909" s="8"/>
      <c r="K909" s="16"/>
      <c r="L909" s="13"/>
      <c r="M909" s="15"/>
      <c r="N909" s="15"/>
      <c r="O909" s="15"/>
      <c r="P909" s="15"/>
      <c r="Q909" s="15"/>
      <c r="R909" s="15"/>
      <c r="S909" s="15"/>
      <c r="T909" s="15"/>
      <c r="U909" s="16"/>
    </row>
  </sheetData>
  <conditionalFormatting sqref="A1:AL1">
    <cfRule type="notContainsBlanks" dxfId="0" priority="1">
      <formula>LEN(TRIM(A1))&gt;0</formula>
    </cfRule>
  </conditionalFormatting>
  <hyperlinks>
    <hyperlink r:id="rId1" ref="C10"/>
    <hyperlink r:id="rId2" ref="C11"/>
    <hyperlink r:id="rId3" ref="C12"/>
    <hyperlink r:id="rId4" ref="C13"/>
    <hyperlink r:id="rId5" ref="C14"/>
    <hyperlink r:id="rId6" ref="C15"/>
    <hyperlink r:id="rId7" ref="C16"/>
    <hyperlink r:id="rId8" ref="C17"/>
    <hyperlink r:id="rId9" ref="C18"/>
    <hyperlink r:id="rId10" ref="C19"/>
    <hyperlink r:id="rId11" ref="C37"/>
    <hyperlink r:id="rId12" ref="C42"/>
    <hyperlink r:id="rId13" ref="C43"/>
    <hyperlink r:id="rId14" ref="C44"/>
    <hyperlink r:id="rId15" ref="C45"/>
    <hyperlink r:id="rId16" ref="C46"/>
    <hyperlink r:id="rId17" ref="C47"/>
    <hyperlink r:id="rId18" ref="C48"/>
    <hyperlink r:id="rId19" ref="C49"/>
    <hyperlink r:id="rId20" ref="C53"/>
    <hyperlink r:id="rId21" ref="C54"/>
    <hyperlink r:id="rId22" ref="C60"/>
    <hyperlink r:id="rId23" ref="C61"/>
    <hyperlink r:id="rId24" ref="C62"/>
    <hyperlink r:id="rId25" ref="C74"/>
    <hyperlink r:id="rId26" ref="C75"/>
    <hyperlink r:id="rId27" ref="C76"/>
    <hyperlink r:id="rId28" ref="C77"/>
    <hyperlink r:id="rId29" ref="C78"/>
    <hyperlink r:id="rId30" ref="C79"/>
    <hyperlink r:id="rId31" ref="C80"/>
    <hyperlink r:id="rId32" ref="C86"/>
    <hyperlink r:id="rId33" ref="C91"/>
    <hyperlink r:id="rId34" ref="C96"/>
    <hyperlink r:id="rId35" ref="C97"/>
    <hyperlink r:id="rId36" ref="C98"/>
    <hyperlink r:id="rId37" ref="C99"/>
    <hyperlink r:id="rId38" ref="C100"/>
    <hyperlink r:id="rId39" ref="C101"/>
    <hyperlink r:id="rId40" ref="C102"/>
    <hyperlink r:id="rId41" ref="C103"/>
    <hyperlink r:id="rId42" ref="C104"/>
    <hyperlink r:id="rId43" ref="C107"/>
    <hyperlink r:id="rId44" ref="C108"/>
    <hyperlink r:id="rId45" ref="C109"/>
    <hyperlink r:id="rId46" ref="C110"/>
    <hyperlink r:id="rId47" ref="C111"/>
    <hyperlink r:id="rId48" ref="C112"/>
    <hyperlink r:id="rId49" ref="C113"/>
    <hyperlink r:id="rId50" ref="C114"/>
    <hyperlink r:id="rId51" ref="C119"/>
    <hyperlink r:id="rId52" ref="C120"/>
    <hyperlink r:id="rId53" ref="C121"/>
    <hyperlink r:id="rId54" ref="C122"/>
    <hyperlink r:id="rId55" ref="C123"/>
    <hyperlink r:id="rId56" ref="C124"/>
    <hyperlink r:id="rId57" ref="C125"/>
    <hyperlink r:id="rId58" ref="C126"/>
    <hyperlink r:id="rId59" ref="C127"/>
    <hyperlink r:id="rId60" ref="C138"/>
    <hyperlink r:id="rId61" ref="C139"/>
    <hyperlink r:id="rId62" ref="C140"/>
    <hyperlink r:id="rId63" ref="C141"/>
    <hyperlink r:id="rId64" ref="C145"/>
    <hyperlink r:id="rId65" ref="C146"/>
    <hyperlink r:id="rId66" ref="C147"/>
    <hyperlink r:id="rId67" ref="C148"/>
    <hyperlink r:id="rId68" ref="C149"/>
    <hyperlink r:id="rId69" ref="C158"/>
    <hyperlink r:id="rId70" ref="C159"/>
    <hyperlink r:id="rId71" ref="C160"/>
    <hyperlink r:id="rId72" ref="C161"/>
    <hyperlink r:id="rId73" ref="C180"/>
    <hyperlink r:id="rId74" ref="C181"/>
    <hyperlink r:id="rId75" ref="C185"/>
    <hyperlink r:id="rId76" ref="C186"/>
    <hyperlink r:id="rId77" ref="C187"/>
    <hyperlink r:id="rId78" ref="C188"/>
    <hyperlink r:id="rId79" ref="C189"/>
    <hyperlink r:id="rId80" ref="C193"/>
    <hyperlink r:id="rId81" ref="C194"/>
    <hyperlink r:id="rId82" ref="C198"/>
    <hyperlink r:id="rId83" ref="C199"/>
    <hyperlink r:id="rId84" ref="C206"/>
    <hyperlink r:id="rId85" ref="C211"/>
    <hyperlink r:id="rId86" ref="C212"/>
    <hyperlink r:id="rId87" ref="C213"/>
    <hyperlink r:id="rId88" ref="C217"/>
    <hyperlink r:id="rId89" ref="C218"/>
    <hyperlink r:id="rId90" ref="C219"/>
    <hyperlink r:id="rId91" ref="C220"/>
    <hyperlink r:id="rId92" ref="C221"/>
    <hyperlink r:id="rId93" ref="C240"/>
    <hyperlink r:id="rId94" ref="U240"/>
    <hyperlink r:id="rId95" ref="C247"/>
    <hyperlink r:id="rId96" ref="C248"/>
    <hyperlink r:id="rId97" ref="C249"/>
    <hyperlink r:id="rId98" ref="C250"/>
    <hyperlink r:id="rId99" ref="C251"/>
    <hyperlink r:id="rId100" ref="C252"/>
    <hyperlink r:id="rId101" ref="C253"/>
    <hyperlink r:id="rId102" ref="C254"/>
    <hyperlink r:id="rId103" ref="C255"/>
    <hyperlink r:id="rId104" ref="C261"/>
    <hyperlink r:id="rId105" ref="C262"/>
    <hyperlink r:id="rId106" ref="C270"/>
    <hyperlink r:id="rId107" ref="C271"/>
    <hyperlink r:id="rId108" ref="C272"/>
    <hyperlink r:id="rId109" ref="C273"/>
    <hyperlink r:id="rId110" ref="C274"/>
    <hyperlink r:id="rId111" ref="C275"/>
    <hyperlink r:id="rId112" ref="C276"/>
    <hyperlink r:id="rId113" ref="C277"/>
    <hyperlink r:id="rId114" ref="C278"/>
    <hyperlink r:id="rId115" ref="C279"/>
    <hyperlink r:id="rId116" ref="C280"/>
    <hyperlink r:id="rId117" ref="C285"/>
    <hyperlink r:id="rId118" ref="C286"/>
    <hyperlink r:id="rId119" ref="C291"/>
    <hyperlink r:id="rId120" ref="C292"/>
    <hyperlink r:id="rId121" ref="C293"/>
    <hyperlink r:id="rId122" ref="C294"/>
    <hyperlink r:id="rId123" ref="C295"/>
    <hyperlink r:id="rId124" ref="C317"/>
    <hyperlink r:id="rId125" ref="C318"/>
    <hyperlink r:id="rId126" ref="C319"/>
    <hyperlink r:id="rId127" ref="C323"/>
    <hyperlink r:id="rId128" ref="C324"/>
    <hyperlink r:id="rId129" ref="C325"/>
    <hyperlink r:id="rId130" ref="C326"/>
    <hyperlink r:id="rId131" ref="C327"/>
    <hyperlink r:id="rId132" ref="C336"/>
    <hyperlink r:id="rId133" ref="C339"/>
    <hyperlink r:id="rId134" ref="C340"/>
    <hyperlink r:id="rId135" ref="C341"/>
    <hyperlink r:id="rId136" ref="C342"/>
    <hyperlink r:id="rId137" ref="C343"/>
    <hyperlink r:id="rId138" ref="C344"/>
    <hyperlink r:id="rId139" ref="C345"/>
    <hyperlink r:id="rId140" ref="C354"/>
    <hyperlink r:id="rId141" ref="C355"/>
    <hyperlink r:id="rId142" ref="C357"/>
    <hyperlink r:id="rId143" ref="C371"/>
    <hyperlink r:id="rId144" ref="C372"/>
    <hyperlink r:id="rId145" ref="C373"/>
    <hyperlink r:id="rId146" ref="C380"/>
    <hyperlink r:id="rId147" ref="C381"/>
    <hyperlink r:id="rId148" ref="C382"/>
    <hyperlink r:id="rId149" ref="C383"/>
    <hyperlink r:id="rId150" ref="C384"/>
    <hyperlink r:id="rId151" ref="C385"/>
    <hyperlink r:id="rId152" ref="C386"/>
    <hyperlink r:id="rId153" ref="C387"/>
    <hyperlink r:id="rId154" ref="C388"/>
    <hyperlink r:id="rId155" ref="C395"/>
    <hyperlink r:id="rId156" ref="C396"/>
    <hyperlink r:id="rId157" ref="C401"/>
    <hyperlink r:id="rId158" ref="C403"/>
    <hyperlink r:id="rId159" ref="C404"/>
    <hyperlink r:id="rId160" ref="C405"/>
    <hyperlink r:id="rId161" ref="C413"/>
    <hyperlink r:id="rId162" ref="C417"/>
    <hyperlink r:id="rId163" ref="C418"/>
    <hyperlink r:id="rId164" ref="C419"/>
    <hyperlink r:id="rId165" ref="C420"/>
    <hyperlink r:id="rId166" ref="C421"/>
    <hyperlink r:id="rId167" ref="C422"/>
    <hyperlink r:id="rId168" ref="C423"/>
    <hyperlink r:id="rId169" ref="C431"/>
    <hyperlink r:id="rId170" ref="C432"/>
    <hyperlink r:id="rId171" ref="C434"/>
    <hyperlink r:id="rId172" ref="C435"/>
    <hyperlink r:id="rId173" ref="C436"/>
    <hyperlink r:id="rId174" ref="C437"/>
    <hyperlink r:id="rId175" ref="C438"/>
    <hyperlink r:id="rId176" ref="C439"/>
    <hyperlink r:id="rId177" ref="C440"/>
    <hyperlink r:id="rId178" ref="C441"/>
    <hyperlink r:id="rId179" ref="C442"/>
    <hyperlink r:id="rId180" ref="C443"/>
    <hyperlink r:id="rId181" ref="C444"/>
    <hyperlink r:id="rId182" ref="C445"/>
    <hyperlink r:id="rId183" ref="C446"/>
    <hyperlink r:id="rId184" ref="C447"/>
    <hyperlink r:id="rId185" ref="C448"/>
    <hyperlink r:id="rId186" ref="C449"/>
    <hyperlink r:id="rId187" ref="C450"/>
    <hyperlink r:id="rId188" ref="C451"/>
    <hyperlink r:id="rId189" ref="C452"/>
    <hyperlink r:id="rId190" ref="C453"/>
    <hyperlink r:id="rId191" ref="C454"/>
    <hyperlink r:id="rId192" ref="C464"/>
    <hyperlink r:id="rId193" ref="C465"/>
    <hyperlink r:id="rId194" ref="C466"/>
    <hyperlink r:id="rId195" ref="C467"/>
    <hyperlink r:id="rId196" ref="C468"/>
    <hyperlink r:id="rId197" ref="C469"/>
    <hyperlink r:id="rId198" ref="C470"/>
    <hyperlink r:id="rId199" ref="C471"/>
    <hyperlink r:id="rId200" ref="C472"/>
    <hyperlink r:id="rId201" ref="C473"/>
    <hyperlink r:id="rId202" ref="C474"/>
    <hyperlink r:id="rId203" ref="C475"/>
    <hyperlink r:id="rId204" ref="C476"/>
    <hyperlink r:id="rId205" ref="C477"/>
    <hyperlink r:id="rId206" ref="C478"/>
    <hyperlink r:id="rId207" ref="C479"/>
    <hyperlink r:id="rId208" ref="C480"/>
    <hyperlink r:id="rId209" ref="C481"/>
    <hyperlink r:id="rId210" ref="C482"/>
    <hyperlink r:id="rId211" ref="C491"/>
    <hyperlink r:id="rId212" ref="C492"/>
    <hyperlink r:id="rId213" ref="C493"/>
    <hyperlink r:id="rId214" ref="C496"/>
    <hyperlink r:id="rId215" ref="C497"/>
    <hyperlink r:id="rId216" ref="C498"/>
    <hyperlink r:id="rId217" ref="C499"/>
    <hyperlink r:id="rId218" ref="C500"/>
    <hyperlink r:id="rId219" ref="C501"/>
    <hyperlink r:id="rId220" ref="C502"/>
    <hyperlink r:id="rId221" ref="C503"/>
    <hyperlink r:id="rId222" ref="C514"/>
    <hyperlink r:id="rId223" ref="C515"/>
    <hyperlink r:id="rId224" ref="C521"/>
    <hyperlink r:id="rId225" ref="C522"/>
    <hyperlink r:id="rId226" ref="C523"/>
    <hyperlink r:id="rId227" ref="C524"/>
    <hyperlink r:id="rId228" ref="C525"/>
    <hyperlink r:id="rId229" ref="C526"/>
    <hyperlink r:id="rId230" ref="C527"/>
    <hyperlink r:id="rId231" ref="C541"/>
    <hyperlink r:id="rId232" ref="C542"/>
    <hyperlink r:id="rId233" ref="C563"/>
    <hyperlink r:id="rId234" ref="C564"/>
    <hyperlink r:id="rId235" ref="C565"/>
    <hyperlink r:id="rId236" ref="C566"/>
    <hyperlink r:id="rId237" ref="C567"/>
    <hyperlink r:id="rId238" ref="C568"/>
    <hyperlink r:id="rId239" ref="C574"/>
    <hyperlink r:id="rId240" ref="C575"/>
    <hyperlink r:id="rId241" ref="C576"/>
    <hyperlink r:id="rId242" ref="C577"/>
    <hyperlink r:id="rId243" ref="C582"/>
    <hyperlink r:id="rId244" ref="C583"/>
    <hyperlink r:id="rId245" ref="C584"/>
    <hyperlink r:id="rId246" ref="C585"/>
    <hyperlink r:id="rId247" ref="C595"/>
    <hyperlink r:id="rId248" ref="C596"/>
    <hyperlink r:id="rId249" ref="C597"/>
    <hyperlink r:id="rId250" ref="C598"/>
    <hyperlink r:id="rId251" ref="C599"/>
    <hyperlink r:id="rId252" ref="C600"/>
    <hyperlink r:id="rId253" ref="C613"/>
    <hyperlink r:id="rId254" ref="C614"/>
    <hyperlink r:id="rId255" ref="C615"/>
    <hyperlink r:id="rId256" ref="C617"/>
    <hyperlink r:id="rId257" ref="C618"/>
    <hyperlink r:id="rId258" ref="C624"/>
    <hyperlink r:id="rId259" ref="C625"/>
    <hyperlink r:id="rId260" ref="C626"/>
    <hyperlink r:id="rId261" ref="C627"/>
    <hyperlink r:id="rId262" ref="C628"/>
    <hyperlink r:id="rId263" ref="C629"/>
    <hyperlink r:id="rId264" ref="C645"/>
    <hyperlink r:id="rId265" ref="C646"/>
    <hyperlink r:id="rId266" ref="C647"/>
    <hyperlink r:id="rId267" ref="C648"/>
    <hyperlink r:id="rId268" ref="C649"/>
    <hyperlink r:id="rId269" ref="C650"/>
    <hyperlink r:id="rId270" ref="C651"/>
    <hyperlink r:id="rId271" ref="C653"/>
    <hyperlink r:id="rId272" ref="C658"/>
    <hyperlink r:id="rId273" ref="C659"/>
    <hyperlink r:id="rId274" ref="C660"/>
    <hyperlink r:id="rId275" ref="C661"/>
    <hyperlink r:id="rId276" ref="C662"/>
    <hyperlink r:id="rId277" ref="C663"/>
    <hyperlink r:id="rId278" ref="C664"/>
    <hyperlink r:id="rId279" ref="C677"/>
    <hyperlink r:id="rId280" ref="C684"/>
    <hyperlink r:id="rId281" ref="C685"/>
    <hyperlink r:id="rId282" ref="C686"/>
    <hyperlink r:id="rId283" ref="C687"/>
    <hyperlink r:id="rId284" ref="C688"/>
    <hyperlink r:id="rId285" ref="C689"/>
    <hyperlink r:id="rId286" ref="C690"/>
    <hyperlink r:id="rId287" ref="C691"/>
    <hyperlink r:id="rId288" ref="C692"/>
    <hyperlink r:id="rId289" ref="C698"/>
    <hyperlink r:id="rId290" ref="C699"/>
    <hyperlink r:id="rId291" ref="C700"/>
    <hyperlink r:id="rId292" ref="C701"/>
    <hyperlink r:id="rId293" ref="C702"/>
    <hyperlink r:id="rId294" ref="C703"/>
    <hyperlink r:id="rId295" ref="C704"/>
    <hyperlink r:id="rId296" ref="C705"/>
    <hyperlink r:id="rId297" ref="C706"/>
    <hyperlink r:id="rId298" ref="C710"/>
    <hyperlink r:id="rId299" ref="C711"/>
    <hyperlink r:id="rId300" ref="C712"/>
    <hyperlink r:id="rId301" ref="C713"/>
    <hyperlink r:id="rId302" ref="C714"/>
    <hyperlink r:id="rId303" ref="C715"/>
    <hyperlink r:id="rId304" ref="C716"/>
    <hyperlink r:id="rId305" ref="C717"/>
    <hyperlink r:id="rId306" ref="C718"/>
    <hyperlink r:id="rId307" ref="C728"/>
    <hyperlink r:id="rId308" ref="C729"/>
    <hyperlink r:id="rId309" ref="C730"/>
    <hyperlink r:id="rId310" ref="C731"/>
    <hyperlink r:id="rId311" ref="C732"/>
    <hyperlink r:id="rId312" ref="C733"/>
    <hyperlink r:id="rId313" ref="C737"/>
    <hyperlink r:id="rId314" ref="C738"/>
    <hyperlink r:id="rId315" ref="C739"/>
    <hyperlink r:id="rId316" ref="C740"/>
    <hyperlink r:id="rId317" ref="C745"/>
    <hyperlink r:id="rId318" ref="C746"/>
    <hyperlink r:id="rId319" ref="C747"/>
    <hyperlink r:id="rId320" ref="C748"/>
    <hyperlink r:id="rId321" ref="C749"/>
    <hyperlink r:id="rId322" ref="C750"/>
    <hyperlink r:id="rId323" ref="C751"/>
    <hyperlink r:id="rId324" ref="C752"/>
    <hyperlink r:id="rId325" ref="C753"/>
    <hyperlink r:id="rId326" ref="C754"/>
    <hyperlink r:id="rId327" ref="C755"/>
    <hyperlink r:id="rId328" ref="C759"/>
    <hyperlink r:id="rId329" ref="C760"/>
    <hyperlink r:id="rId330" ref="C765"/>
    <hyperlink r:id="rId331" ref="C766"/>
    <hyperlink r:id="rId332" ref="C767"/>
    <hyperlink r:id="rId333" ref="C768"/>
    <hyperlink r:id="rId334" ref="C769"/>
    <hyperlink r:id="rId335" ref="C775"/>
    <hyperlink r:id="rId336" ref="C783"/>
    <hyperlink r:id="rId337" ref="C784"/>
    <hyperlink r:id="rId338" ref="C785"/>
    <hyperlink r:id="rId339" ref="C786"/>
    <hyperlink r:id="rId340" ref="C787"/>
    <hyperlink r:id="rId341" ref="C788"/>
    <hyperlink r:id="rId342" ref="C789"/>
    <hyperlink r:id="rId343" ref="C790"/>
    <hyperlink r:id="rId344" ref="C792"/>
    <hyperlink r:id="rId345" ref="C793"/>
    <hyperlink r:id="rId346" ref="C803"/>
    <hyperlink r:id="rId347" ref="C804"/>
    <hyperlink r:id="rId348" ref="C805"/>
    <hyperlink r:id="rId349" ref="C806"/>
    <hyperlink r:id="rId350" ref="C810"/>
    <hyperlink r:id="rId351" ref="C811"/>
    <hyperlink r:id="rId352" ref="C812"/>
    <hyperlink r:id="rId353" ref="C813"/>
    <hyperlink r:id="rId354" ref="C814"/>
    <hyperlink r:id="rId355" ref="C815"/>
    <hyperlink r:id="rId356" ref="C816"/>
    <hyperlink r:id="rId357" ref="C817"/>
    <hyperlink r:id="rId358" ref="C821"/>
    <hyperlink r:id="rId359" ref="C822"/>
    <hyperlink r:id="rId360" ref="C828"/>
    <hyperlink r:id="rId361" ref="C829"/>
    <hyperlink r:id="rId362" ref="C830"/>
    <hyperlink r:id="rId363" ref="C831"/>
    <hyperlink r:id="rId364" ref="C832"/>
    <hyperlink r:id="rId365" ref="C833"/>
    <hyperlink r:id="rId366" ref="C834"/>
    <hyperlink r:id="rId367" ref="C835"/>
    <hyperlink r:id="rId368" ref="C836"/>
    <hyperlink r:id="rId369" ref="C837"/>
    <hyperlink r:id="rId370" ref="C838"/>
    <hyperlink r:id="rId371" ref="C839"/>
    <hyperlink r:id="rId372" ref="C854"/>
    <hyperlink r:id="rId373" ref="C861"/>
    <hyperlink r:id="rId374" ref="C871"/>
    <hyperlink r:id="rId375" ref="C872"/>
    <hyperlink r:id="rId376" ref="C873"/>
    <hyperlink r:id="rId377" ref="C874"/>
    <hyperlink r:id="rId378" ref="C875"/>
    <hyperlink r:id="rId379" ref="C876"/>
    <hyperlink r:id="rId380" ref="C877"/>
    <hyperlink r:id="rId381" ref="C887"/>
    <hyperlink r:id="rId382" ref="C888"/>
    <hyperlink r:id="rId383" ref="C889"/>
    <hyperlink r:id="rId384" ref="C890"/>
    <hyperlink r:id="rId385" ref="C891"/>
    <hyperlink r:id="rId386" ref="C892"/>
    <hyperlink r:id="rId387" ref="C893"/>
    <hyperlink r:id="rId388" ref="C894"/>
    <hyperlink r:id="rId389" ref="C895"/>
    <hyperlink r:id="rId390" ref="C896"/>
    <hyperlink r:id="rId391" ref="C897"/>
    <hyperlink r:id="rId392" ref="C898"/>
    <hyperlink r:id="rId393" ref="C899"/>
    <hyperlink r:id="rId394" ref="C900"/>
    <hyperlink r:id="rId395" ref="C901"/>
    <hyperlink r:id="rId396" ref="C902"/>
    <hyperlink r:id="rId397" ref="C903"/>
    <hyperlink r:id="rId398" ref="C904"/>
    <hyperlink r:id="rId399" ref="C905"/>
    <hyperlink r:id="rId400" ref="C906"/>
  </hyperlinks>
  <printOptions gridLines="1" horizontalCentered="1"/>
  <pageMargins bottom="0.75" footer="0.0" header="0.0" left="0.7" right="0.7" top="0.75"/>
  <pageSetup fitToHeight="0" paperSize="9" cellComments="atEnd" orientation="landscape" pageOrder="overThenDown"/>
  <drawing r:id="rId4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49.86"/>
    <col customWidth="1" min="11" max="11" width="54.57"/>
  </cols>
  <sheetData>
    <row r="1">
      <c r="A1" s="1" t="s">
        <v>0</v>
      </c>
      <c r="B1" s="2" t="s">
        <v>1</v>
      </c>
      <c r="C1" s="3" t="s">
        <v>2</v>
      </c>
      <c r="D1" s="1" t="s">
        <v>3</v>
      </c>
      <c r="E1" s="1" t="s">
        <v>4</v>
      </c>
      <c r="F1" s="1" t="s">
        <v>5</v>
      </c>
      <c r="G1" s="1" t="s">
        <v>6</v>
      </c>
      <c r="H1" s="1" t="s">
        <v>7</v>
      </c>
      <c r="I1" s="1" t="s">
        <v>8</v>
      </c>
      <c r="J1" s="1" t="s">
        <v>9</v>
      </c>
      <c r="K1" s="1" t="s">
        <v>10</v>
      </c>
      <c r="L1" s="1" t="s">
        <v>11</v>
      </c>
      <c r="M1" s="1" t="s">
        <v>12</v>
      </c>
      <c r="N1" s="1" t="s">
        <v>13</v>
      </c>
      <c r="O1" s="1" t="s">
        <v>14</v>
      </c>
      <c r="P1" s="4" t="s">
        <v>15</v>
      </c>
      <c r="Q1" s="4" t="s">
        <v>17</v>
      </c>
      <c r="R1" s="1" t="s">
        <v>18</v>
      </c>
      <c r="S1" s="1" t="s">
        <v>19</v>
      </c>
      <c r="T1" s="5" t="s">
        <v>20</v>
      </c>
    </row>
    <row r="2">
      <c r="A2" s="7"/>
      <c r="B2" s="8">
        <v>8.0</v>
      </c>
      <c r="C2" s="14" t="s">
        <v>21</v>
      </c>
      <c r="D2" s="7" t="s">
        <v>22</v>
      </c>
      <c r="E2" s="11"/>
      <c r="F2" s="12"/>
      <c r="G2" s="12"/>
      <c r="H2" s="8"/>
      <c r="I2" s="8"/>
      <c r="J2" s="16"/>
      <c r="K2" s="13"/>
      <c r="L2" s="15"/>
      <c r="M2" s="15"/>
      <c r="N2" s="15"/>
      <c r="O2" s="15"/>
      <c r="P2" s="15"/>
      <c r="Q2" s="15"/>
      <c r="R2" s="15"/>
      <c r="S2" s="15"/>
      <c r="T2" s="16"/>
    </row>
    <row r="3">
      <c r="A3" s="7"/>
      <c r="B3" s="8">
        <v>9.0</v>
      </c>
      <c r="C3" s="14" t="s">
        <v>24</v>
      </c>
      <c r="D3" s="7" t="s">
        <v>22</v>
      </c>
      <c r="E3" s="7"/>
      <c r="F3" s="8" t="s">
        <v>26</v>
      </c>
      <c r="G3" s="8">
        <v>2005.0</v>
      </c>
      <c r="H3" s="8"/>
      <c r="I3" s="8"/>
      <c r="J3" s="20"/>
      <c r="K3" s="13"/>
      <c r="L3" s="15"/>
      <c r="M3" s="15"/>
      <c r="N3" s="15"/>
      <c r="O3" s="15"/>
      <c r="P3" s="15"/>
      <c r="Q3" s="15"/>
      <c r="R3" s="15"/>
      <c r="S3" s="15"/>
      <c r="T3" s="16"/>
    </row>
    <row r="4">
      <c r="A4" s="22">
        <v>1.0</v>
      </c>
      <c r="B4" s="24">
        <v>10.0</v>
      </c>
      <c r="C4" s="31" t="s">
        <v>30</v>
      </c>
      <c r="D4" s="33" t="s">
        <v>31</v>
      </c>
      <c r="E4" s="33" t="s">
        <v>32</v>
      </c>
      <c r="F4" s="35" t="s">
        <v>33</v>
      </c>
      <c r="G4" s="35">
        <v>2009.0</v>
      </c>
      <c r="H4" s="35">
        <v>1.0</v>
      </c>
      <c r="I4" s="36">
        <v>1.0</v>
      </c>
      <c r="J4" s="37" t="s">
        <v>35</v>
      </c>
      <c r="K4" s="38"/>
      <c r="L4" s="39"/>
      <c r="M4" s="39"/>
      <c r="N4" s="39"/>
      <c r="O4" s="39"/>
      <c r="P4" s="39"/>
      <c r="Q4" s="39"/>
      <c r="R4" s="39"/>
      <c r="S4" s="39"/>
      <c r="T4" s="40"/>
    </row>
    <row r="5">
      <c r="A5" s="41"/>
      <c r="B5" s="42">
        <v>10.0</v>
      </c>
      <c r="C5" s="43"/>
      <c r="D5" s="41"/>
      <c r="E5" s="41"/>
      <c r="F5" s="43"/>
      <c r="G5" s="43"/>
      <c r="H5" s="43">
        <v>1.0</v>
      </c>
      <c r="I5" s="44">
        <v>2.0</v>
      </c>
      <c r="J5" s="45" t="s">
        <v>39</v>
      </c>
      <c r="K5" s="45" t="s">
        <v>40</v>
      </c>
      <c r="L5" s="43" t="s">
        <v>41</v>
      </c>
      <c r="M5" s="46" t="s">
        <v>42</v>
      </c>
      <c r="N5" s="47"/>
      <c r="O5" s="47"/>
      <c r="P5" s="47"/>
      <c r="Q5" s="47">
        <f>TDIST(2.64,51,2)</f>
        <v>0.01097289293</v>
      </c>
      <c r="R5" s="47">
        <f t="shared" ref="R5:R8" si="1">NORMINV(1-Q5/2,0,1)</f>
        <v>2.543560896</v>
      </c>
      <c r="S5" s="47">
        <f t="shared" ref="S5:S8" si="2">NORMDIST(R5,1.96,1,TRUE)</f>
        <v>0.7202421122</v>
      </c>
      <c r="T5" s="50"/>
    </row>
    <row r="6">
      <c r="A6" s="41"/>
      <c r="B6" s="42">
        <v>10.0</v>
      </c>
      <c r="C6" s="43"/>
      <c r="D6" s="41"/>
      <c r="E6" s="41"/>
      <c r="F6" s="43"/>
      <c r="G6" s="43"/>
      <c r="H6" s="43">
        <v>1.0</v>
      </c>
      <c r="I6" s="44">
        <v>2.0</v>
      </c>
      <c r="J6" s="45"/>
      <c r="K6" s="45"/>
      <c r="L6" s="52" t="s">
        <v>47</v>
      </c>
      <c r="M6" s="44" t="s">
        <v>50</v>
      </c>
      <c r="N6" s="47"/>
      <c r="O6" s="47"/>
      <c r="P6" s="47"/>
      <c r="Q6" s="47">
        <f>TDIST(0.69,51,2)</f>
        <v>0.4933222436</v>
      </c>
      <c r="R6" s="57">
        <f t="shared" si="1"/>
        <v>0.6850343527</v>
      </c>
      <c r="S6" s="47">
        <f t="shared" si="2"/>
        <v>0.1011607007</v>
      </c>
      <c r="T6" s="50"/>
    </row>
    <row r="7">
      <c r="A7" s="41"/>
      <c r="B7" s="42">
        <v>10.0</v>
      </c>
      <c r="C7" s="43"/>
      <c r="D7" s="41"/>
      <c r="E7" s="41"/>
      <c r="F7" s="43"/>
      <c r="G7" s="43"/>
      <c r="H7" s="43">
        <v>1.0</v>
      </c>
      <c r="I7" s="44" t="s">
        <v>53</v>
      </c>
      <c r="J7" s="45" t="s">
        <v>54</v>
      </c>
      <c r="K7" s="58" t="s">
        <v>55</v>
      </c>
      <c r="L7" s="44" t="s">
        <v>57</v>
      </c>
      <c r="M7" s="44" t="s">
        <v>58</v>
      </c>
      <c r="N7" s="47"/>
      <c r="O7" s="47"/>
      <c r="P7" s="47"/>
      <c r="Q7" s="47">
        <f>TDIST(2.41,51,2)</f>
        <v>0.01959811738</v>
      </c>
      <c r="R7" s="57">
        <f t="shared" si="1"/>
        <v>2.333954255</v>
      </c>
      <c r="S7" s="47">
        <f t="shared" si="2"/>
        <v>0.6457808249</v>
      </c>
      <c r="T7" s="50"/>
    </row>
    <row r="8">
      <c r="A8" s="41"/>
      <c r="B8" s="42">
        <v>10.0</v>
      </c>
      <c r="C8" s="43"/>
      <c r="D8" s="41"/>
      <c r="E8" s="41"/>
      <c r="F8" s="43"/>
      <c r="G8" s="43"/>
      <c r="H8" s="43">
        <v>1.0</v>
      </c>
      <c r="I8" s="44" t="s">
        <v>53</v>
      </c>
      <c r="J8" s="45"/>
      <c r="K8" s="59"/>
      <c r="L8" s="44" t="s">
        <v>63</v>
      </c>
      <c r="M8" s="44" t="s">
        <v>64</v>
      </c>
      <c r="N8" s="47"/>
      <c r="O8" s="47"/>
      <c r="P8" s="47"/>
      <c r="Q8" s="47">
        <f>TDIST(1.07,51,2)</f>
        <v>0.2896573484</v>
      </c>
      <c r="R8" s="57">
        <f t="shared" si="1"/>
        <v>1.058873602</v>
      </c>
      <c r="S8" s="47">
        <f t="shared" si="2"/>
        <v>0.1837605594</v>
      </c>
      <c r="T8" s="50"/>
    </row>
    <row r="9">
      <c r="A9" s="41"/>
      <c r="B9" s="42">
        <v>10.0</v>
      </c>
      <c r="C9" s="43"/>
      <c r="D9" s="41"/>
      <c r="E9" s="41"/>
      <c r="F9" s="43"/>
      <c r="G9" s="43"/>
      <c r="H9" s="43">
        <v>1.0</v>
      </c>
      <c r="I9" s="44" t="s">
        <v>65</v>
      </c>
      <c r="J9" s="45" t="s">
        <v>66</v>
      </c>
      <c r="K9" s="45" t="s">
        <v>67</v>
      </c>
      <c r="L9" s="60"/>
      <c r="M9" s="43"/>
      <c r="N9" s="60"/>
      <c r="O9" s="60"/>
      <c r="P9" s="43" t="s">
        <v>68</v>
      </c>
      <c r="Q9" s="47"/>
      <c r="R9" s="47"/>
      <c r="S9" s="47"/>
      <c r="T9" s="50"/>
    </row>
    <row r="10">
      <c r="A10" s="41">
        <v>1.0</v>
      </c>
      <c r="B10" s="42">
        <v>10.0</v>
      </c>
      <c r="C10" s="43"/>
      <c r="D10" s="41"/>
      <c r="E10" s="41"/>
      <c r="F10" s="43"/>
      <c r="G10" s="43"/>
      <c r="H10" s="43">
        <v>2.0</v>
      </c>
      <c r="I10" s="44">
        <v>2.0</v>
      </c>
      <c r="J10" s="45" t="s">
        <v>69</v>
      </c>
      <c r="K10" s="45" t="s">
        <v>70</v>
      </c>
      <c r="L10" s="44" t="s">
        <v>71</v>
      </c>
      <c r="M10" s="44" t="s">
        <v>72</v>
      </c>
      <c r="N10" s="47"/>
      <c r="O10" s="47"/>
      <c r="P10" s="47"/>
      <c r="Q10" s="47">
        <f>TDIST(3.2,97,2)</f>
        <v>0.00185765357</v>
      </c>
      <c r="R10" s="47">
        <f t="shared" ref="R10:R12" si="3">NORMINV(1-Q10/2,0,1)</f>
        <v>3.112093969</v>
      </c>
      <c r="S10" s="47">
        <f t="shared" ref="S10:S12" si="4">NORMDIST(R10,1.96,1,TRUE)</f>
        <v>0.8753587694</v>
      </c>
      <c r="T10" s="50"/>
    </row>
    <row r="11">
      <c r="A11" s="41"/>
      <c r="B11" s="42">
        <v>10.0</v>
      </c>
      <c r="C11" s="43"/>
      <c r="D11" s="41"/>
      <c r="E11" s="41"/>
      <c r="F11" s="43"/>
      <c r="G11" s="43"/>
      <c r="H11" s="43">
        <v>2.0</v>
      </c>
      <c r="I11" s="44">
        <v>2.0</v>
      </c>
      <c r="J11" s="45"/>
      <c r="K11" s="45"/>
      <c r="L11" s="44" t="s">
        <v>75</v>
      </c>
      <c r="M11" s="44" t="s">
        <v>76</v>
      </c>
      <c r="N11" s="47"/>
      <c r="O11" s="47"/>
      <c r="P11" s="47"/>
      <c r="Q11" s="47">
        <f>TDIST(0.41,97,2)</f>
        <v>0.6827100556</v>
      </c>
      <c r="R11" s="47">
        <f t="shared" si="3"/>
        <v>0.4087678229</v>
      </c>
      <c r="S11" s="47">
        <f t="shared" si="4"/>
        <v>0.06042302681</v>
      </c>
      <c r="T11" s="50"/>
    </row>
    <row r="12">
      <c r="A12" s="41"/>
      <c r="B12" s="42">
        <v>10.0</v>
      </c>
      <c r="C12" s="43"/>
      <c r="D12" s="41"/>
      <c r="E12" s="41"/>
      <c r="F12" s="43"/>
      <c r="G12" s="43"/>
      <c r="H12" s="43">
        <v>2.0</v>
      </c>
      <c r="I12" s="44">
        <v>4.0</v>
      </c>
      <c r="J12" s="61" t="s">
        <v>77</v>
      </c>
      <c r="K12" s="45" t="s">
        <v>79</v>
      </c>
      <c r="L12" s="44" t="s">
        <v>80</v>
      </c>
      <c r="M12" s="44" t="s">
        <v>81</v>
      </c>
      <c r="N12" s="47"/>
      <c r="O12" s="47"/>
      <c r="P12" s="47"/>
      <c r="Q12" s="47">
        <f>TDIST(2.69,97,2)</f>
        <v>0.008413627412</v>
      </c>
      <c r="R12" s="47">
        <f t="shared" si="3"/>
        <v>2.635004074</v>
      </c>
      <c r="S12" s="47">
        <f t="shared" si="4"/>
        <v>0.7501634116</v>
      </c>
      <c r="T12" s="50"/>
    </row>
    <row r="13">
      <c r="A13" s="22">
        <v>1.0</v>
      </c>
      <c r="B13" s="42">
        <v>10.0</v>
      </c>
      <c r="C13" s="62"/>
      <c r="D13" s="22"/>
      <c r="E13" s="22"/>
      <c r="F13" s="62"/>
      <c r="G13" s="62"/>
      <c r="H13" s="62">
        <v>3.0</v>
      </c>
      <c r="I13" s="63">
        <v>1.0</v>
      </c>
      <c r="J13" s="64" t="s">
        <v>84</v>
      </c>
      <c r="K13" s="65"/>
      <c r="L13" s="66"/>
      <c r="M13" s="66"/>
      <c r="N13" s="66"/>
      <c r="O13" s="66"/>
      <c r="P13" s="66"/>
      <c r="Q13" s="66"/>
      <c r="R13" s="66"/>
      <c r="S13" s="66"/>
      <c r="T13" s="67"/>
    </row>
    <row r="14">
      <c r="A14" s="41"/>
      <c r="B14" s="42">
        <v>10.0</v>
      </c>
      <c r="C14" s="43"/>
      <c r="D14" s="41"/>
      <c r="E14" s="41"/>
      <c r="F14" s="43"/>
      <c r="G14" s="43"/>
      <c r="H14" s="43">
        <v>3.0</v>
      </c>
      <c r="I14" s="44">
        <v>2.0</v>
      </c>
      <c r="J14" s="45" t="s">
        <v>87</v>
      </c>
      <c r="K14" s="45" t="s">
        <v>89</v>
      </c>
      <c r="L14" s="44" t="s">
        <v>90</v>
      </c>
      <c r="M14" s="44" t="s">
        <v>81</v>
      </c>
      <c r="N14" s="47"/>
      <c r="O14" s="47"/>
      <c r="P14" s="47"/>
      <c r="Q14" s="47">
        <f>TDIST(2.38,73,2)</f>
        <v>0.01992586334</v>
      </c>
      <c r="R14" s="47">
        <f t="shared" ref="R14:R16" si="5">NORMINV(1-Q14/2,0,1)</f>
        <v>2.32774095</v>
      </c>
      <c r="S14" s="47">
        <f t="shared" ref="S14:S16" si="6">NORMDIST(R14,1.96,1,TRUE)</f>
        <v>0.6434667983</v>
      </c>
      <c r="T14" s="50"/>
    </row>
    <row r="15">
      <c r="A15" s="41"/>
      <c r="B15" s="42">
        <v>10.0</v>
      </c>
      <c r="C15" s="43"/>
      <c r="D15" s="41"/>
      <c r="E15" s="41"/>
      <c r="F15" s="43"/>
      <c r="G15" s="43"/>
      <c r="H15" s="43">
        <v>3.0</v>
      </c>
      <c r="I15" s="44">
        <v>2.0</v>
      </c>
      <c r="J15" s="45"/>
      <c r="K15" s="59"/>
      <c r="L15" s="44" t="s">
        <v>92</v>
      </c>
      <c r="M15" s="44" t="s">
        <v>81</v>
      </c>
      <c r="N15" s="47"/>
      <c r="O15" s="47"/>
      <c r="P15" s="47"/>
      <c r="Q15" s="47">
        <f>TDIST(2.37,73,2)</f>
        <v>0.02043223433</v>
      </c>
      <c r="R15" s="47">
        <f t="shared" si="5"/>
        <v>2.318314512</v>
      </c>
      <c r="S15" s="47">
        <f t="shared" si="6"/>
        <v>0.6399460203</v>
      </c>
      <c r="T15" s="50"/>
    </row>
    <row r="16">
      <c r="A16" s="41"/>
      <c r="B16" s="42">
        <v>10.0</v>
      </c>
      <c r="C16" s="43"/>
      <c r="D16" s="41"/>
      <c r="E16" s="41"/>
      <c r="F16" s="43"/>
      <c r="G16" s="43"/>
      <c r="H16" s="43">
        <v>3.0</v>
      </c>
      <c r="I16" s="44" t="s">
        <v>53</v>
      </c>
      <c r="J16" s="45" t="s">
        <v>93</v>
      </c>
      <c r="K16" s="45" t="s">
        <v>94</v>
      </c>
      <c r="L16" s="44" t="s">
        <v>95</v>
      </c>
      <c r="M16" s="44" t="s">
        <v>42</v>
      </c>
      <c r="N16" s="47"/>
      <c r="O16" s="47"/>
      <c r="P16" s="47"/>
      <c r="Q16" s="47">
        <f>TDIST(2.73,73,2)</f>
        <v>0.007933316393</v>
      </c>
      <c r="R16" s="47">
        <f t="shared" si="5"/>
        <v>2.654894723</v>
      </c>
      <c r="S16" s="47">
        <f t="shared" si="6"/>
        <v>0.75643936</v>
      </c>
      <c r="T16" s="50"/>
    </row>
    <row r="17">
      <c r="A17" s="41"/>
      <c r="B17" s="42">
        <v>10.0</v>
      </c>
      <c r="C17" s="43"/>
      <c r="D17" s="41"/>
      <c r="E17" s="41"/>
      <c r="F17" s="43"/>
      <c r="G17" s="43"/>
      <c r="H17" s="43">
        <v>3.0</v>
      </c>
      <c r="I17" s="44" t="s">
        <v>65</v>
      </c>
      <c r="J17" s="45" t="s">
        <v>98</v>
      </c>
      <c r="K17" s="45" t="s">
        <v>99</v>
      </c>
      <c r="L17" s="47"/>
      <c r="M17" s="47"/>
      <c r="N17" s="47"/>
      <c r="O17" s="47"/>
      <c r="P17" s="44" t="s">
        <v>100</v>
      </c>
      <c r="Q17" s="47"/>
      <c r="R17" s="47"/>
      <c r="S17" s="47"/>
      <c r="T17" s="50"/>
    </row>
    <row r="18">
      <c r="A18" s="41"/>
      <c r="B18" s="42">
        <v>10.0</v>
      </c>
      <c r="C18" s="43"/>
      <c r="D18" s="41"/>
      <c r="E18" s="41"/>
      <c r="F18" s="43"/>
      <c r="G18" s="43"/>
      <c r="H18" s="43">
        <v>3.0</v>
      </c>
      <c r="I18" s="44"/>
      <c r="J18" s="45"/>
      <c r="K18" s="45"/>
      <c r="L18" s="47"/>
      <c r="M18" s="47"/>
      <c r="N18" s="47"/>
      <c r="O18" s="47"/>
      <c r="P18" s="44" t="s">
        <v>101</v>
      </c>
      <c r="Q18" s="47"/>
      <c r="R18" s="47"/>
      <c r="S18" s="47"/>
      <c r="T18" s="50"/>
    </row>
    <row r="19">
      <c r="A19" s="41"/>
      <c r="B19" s="42">
        <v>10.0</v>
      </c>
      <c r="C19" s="43"/>
      <c r="D19" s="41"/>
      <c r="E19" s="41"/>
      <c r="F19" s="43"/>
      <c r="G19" s="43"/>
      <c r="H19" s="43">
        <v>3.0</v>
      </c>
      <c r="I19" s="44">
        <v>4.0</v>
      </c>
      <c r="J19" s="61" t="s">
        <v>103</v>
      </c>
      <c r="K19" s="45" t="s">
        <v>104</v>
      </c>
      <c r="L19" s="44" t="s">
        <v>105</v>
      </c>
      <c r="M19" s="44" t="s">
        <v>81</v>
      </c>
      <c r="N19" s="47"/>
      <c r="O19" s="47"/>
      <c r="P19" s="47"/>
      <c r="Q19" s="47">
        <f>tdist(2.12,73,2)</f>
        <v>0.03740548775</v>
      </c>
      <c r="R19" s="47">
        <f t="shared" ref="R19:R20" si="7">NORMINV(1-Q19/2,0,1)</f>
        <v>2.081310574</v>
      </c>
      <c r="S19" s="47">
        <f t="shared" ref="S19:S20" si="8">NORMDIST(R19,1.96,1,TRUE)</f>
        <v>0.5482774774</v>
      </c>
      <c r="T19" s="50"/>
    </row>
    <row r="20">
      <c r="A20" s="41"/>
      <c r="B20" s="42">
        <v>10.0</v>
      </c>
      <c r="C20" s="75"/>
      <c r="D20" s="76"/>
      <c r="E20" s="76"/>
      <c r="F20" s="75"/>
      <c r="G20" s="75"/>
      <c r="H20" s="75">
        <v>3.0</v>
      </c>
      <c r="I20" s="77">
        <v>4.0</v>
      </c>
      <c r="J20" s="78"/>
      <c r="K20" s="79"/>
      <c r="L20" s="77" t="s">
        <v>108</v>
      </c>
      <c r="M20" s="77" t="s">
        <v>81</v>
      </c>
      <c r="N20" s="80"/>
      <c r="O20" s="80"/>
      <c r="P20" s="80"/>
      <c r="Q20" s="80">
        <f>TDIST(2.22,73,2)</f>
        <v>0.02952412665</v>
      </c>
      <c r="R20" s="80">
        <f t="shared" si="7"/>
        <v>2.176416558</v>
      </c>
      <c r="S20" s="80">
        <f t="shared" si="8"/>
        <v>0.5856684696</v>
      </c>
      <c r="T20" s="81"/>
    </row>
    <row r="21">
      <c r="A21" s="7"/>
      <c r="B21" s="82"/>
      <c r="C21" s="8"/>
      <c r="D21" s="7"/>
      <c r="E21" s="7"/>
      <c r="F21" s="8"/>
      <c r="G21" s="8"/>
      <c r="H21" s="8"/>
      <c r="I21" s="84"/>
      <c r="J21" s="16"/>
      <c r="K21" s="16"/>
      <c r="L21" s="84"/>
      <c r="M21" s="84"/>
      <c r="N21" s="15"/>
      <c r="O21" s="84"/>
      <c r="P21" s="15"/>
      <c r="Q21" s="15"/>
      <c r="R21" s="15"/>
      <c r="S21" s="15"/>
      <c r="T21" s="85"/>
    </row>
    <row r="22">
      <c r="A22" s="41">
        <v>1.0</v>
      </c>
      <c r="B22" s="86">
        <v>11.0</v>
      </c>
      <c r="C22" s="87" t="s">
        <v>114</v>
      </c>
      <c r="D22" s="88" t="s">
        <v>48</v>
      </c>
      <c r="E22" s="88" t="s">
        <v>32</v>
      </c>
      <c r="F22" s="89" t="s">
        <v>115</v>
      </c>
      <c r="G22" s="89">
        <v>2006.0</v>
      </c>
      <c r="H22" s="89">
        <v>1.0</v>
      </c>
      <c r="I22" s="90">
        <v>1.0</v>
      </c>
      <c r="J22" s="91" t="s">
        <v>116</v>
      </c>
      <c r="K22" s="91" t="s">
        <v>117</v>
      </c>
      <c r="L22" s="90" t="s">
        <v>118</v>
      </c>
      <c r="M22" s="90" t="s">
        <v>119</v>
      </c>
      <c r="N22" s="92"/>
      <c r="O22" s="90" t="s">
        <v>120</v>
      </c>
      <c r="P22" s="92"/>
      <c r="Q22" s="92">
        <f>FDIST(15.84,1,121)</f>
        <v>0.0001179684389</v>
      </c>
      <c r="R22" s="92">
        <f t="shared" ref="R22:R24" si="9">NORMINV(1-Q22/2,0,1)</f>
        <v>3.850309949</v>
      </c>
      <c r="S22" s="92">
        <f t="shared" ref="S22:S24" si="10">NORMDIST(R22,1.96,1,TRUE)</f>
        <v>0.9706417405</v>
      </c>
      <c r="T22" s="93"/>
    </row>
    <row r="23">
      <c r="A23" s="41"/>
      <c r="B23" s="42"/>
      <c r="C23" s="43"/>
      <c r="D23" s="41"/>
      <c r="E23" s="94"/>
      <c r="F23" s="43"/>
      <c r="G23" s="43"/>
      <c r="H23" s="43">
        <v>1.0</v>
      </c>
      <c r="I23" s="44">
        <v>2.0</v>
      </c>
      <c r="J23" s="45" t="s">
        <v>121</v>
      </c>
      <c r="K23" s="45" t="s">
        <v>122</v>
      </c>
      <c r="L23" s="44" t="s">
        <v>123</v>
      </c>
      <c r="M23" s="44" t="s">
        <v>119</v>
      </c>
      <c r="N23" s="47"/>
      <c r="O23" s="44" t="s">
        <v>124</v>
      </c>
      <c r="P23" s="47"/>
      <c r="Q23" s="47">
        <f>FDIST(10.65,1,121)</f>
        <v>0.001431068435</v>
      </c>
      <c r="R23" s="47">
        <f t="shared" si="9"/>
        <v>3.188310361</v>
      </c>
      <c r="S23" s="47">
        <f t="shared" si="10"/>
        <v>0.8903347586</v>
      </c>
      <c r="T23" s="50"/>
    </row>
    <row r="24">
      <c r="A24" s="41"/>
      <c r="B24" s="42"/>
      <c r="C24" s="43"/>
      <c r="D24" s="41"/>
      <c r="E24" s="94"/>
      <c r="F24" s="43"/>
      <c r="G24" s="43"/>
      <c r="H24" s="43">
        <v>1.0</v>
      </c>
      <c r="I24" s="44">
        <v>3.0</v>
      </c>
      <c r="J24" s="45" t="s">
        <v>125</v>
      </c>
      <c r="K24" s="45" t="s">
        <v>126</v>
      </c>
      <c r="L24" s="44" t="s">
        <v>127</v>
      </c>
      <c r="M24" s="44" t="s">
        <v>128</v>
      </c>
      <c r="N24" s="47"/>
      <c r="O24" s="44" t="s">
        <v>129</v>
      </c>
      <c r="P24" s="47"/>
      <c r="Q24" s="47">
        <f>FDIST(141.21,1,121)</f>
        <v>0</v>
      </c>
      <c r="R24" s="47" t="str">
        <f t="shared" si="9"/>
        <v>#NUM!</v>
      </c>
      <c r="S24" s="47" t="str">
        <f t="shared" si="10"/>
        <v>#NUM!</v>
      </c>
      <c r="T24" s="50"/>
    </row>
    <row r="25">
      <c r="A25" s="41"/>
      <c r="B25" s="42"/>
      <c r="C25" s="43"/>
      <c r="D25" s="41"/>
      <c r="E25" s="94"/>
      <c r="F25" s="43"/>
      <c r="G25" s="43"/>
      <c r="H25" s="43">
        <v>1.0</v>
      </c>
      <c r="I25" s="44" t="s">
        <v>130</v>
      </c>
      <c r="J25" s="45" t="s">
        <v>131</v>
      </c>
      <c r="K25" s="45" t="s">
        <v>132</v>
      </c>
      <c r="L25" s="44" t="s">
        <v>133</v>
      </c>
      <c r="M25" s="47"/>
      <c r="N25" s="44">
        <v>1.96</v>
      </c>
      <c r="O25" s="47"/>
      <c r="P25" s="47"/>
      <c r="Q25" s="47"/>
      <c r="R25" s="47"/>
      <c r="S25" s="47"/>
      <c r="T25" s="50"/>
    </row>
    <row r="26">
      <c r="A26" s="41"/>
      <c r="B26" s="83"/>
      <c r="C26" s="75"/>
      <c r="D26" s="76"/>
      <c r="E26" s="95"/>
      <c r="F26" s="75"/>
      <c r="G26" s="75"/>
      <c r="H26" s="75">
        <v>1.0</v>
      </c>
      <c r="I26" s="77" t="s">
        <v>134</v>
      </c>
      <c r="J26" s="78" t="s">
        <v>135</v>
      </c>
      <c r="K26" s="78" t="s">
        <v>136</v>
      </c>
      <c r="L26" s="77" t="s">
        <v>137</v>
      </c>
      <c r="M26" s="80"/>
      <c r="N26" s="77">
        <v>1.79</v>
      </c>
      <c r="O26" s="80"/>
      <c r="P26" s="80"/>
      <c r="Q26" s="80"/>
      <c r="R26" s="80"/>
      <c r="S26" s="80"/>
      <c r="T26" s="81"/>
    </row>
  </sheetData>
  <conditionalFormatting sqref="A1:T1">
    <cfRule type="notContainsBlanks" dxfId="0" priority="1">
      <formula>LEN(TRIM(A1))&gt;0</formula>
    </cfRule>
  </conditionalFormatting>
  <hyperlinks>
    <hyperlink r:id="rId1" ref="C2"/>
    <hyperlink r:id="rId2" ref="C3"/>
    <hyperlink r:id="rId3" ref="C4"/>
    <hyperlink r:id="rId4" ref="C22"/>
  </hyperlinks>
  <drawing r:id="rId5"/>
</worksheet>
</file>