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iamto\Downloads\"/>
    </mc:Choice>
  </mc:AlternateContent>
  <xr:revisionPtr revIDLastSave="0" documentId="8_{086A2FCF-9138-4517-A37D-B20B76B7FBC4}" xr6:coauthVersionLast="47" xr6:coauthVersionMax="47" xr10:uidLastSave="{00000000-0000-0000-0000-000000000000}"/>
  <bookViews>
    <workbookView xWindow="-120" yWindow="-120" windowWidth="20730" windowHeight="11040" activeTab="4" xr2:uid="{A8EE14B5-803C-415D-9F2A-928B63EEC99C}"/>
  </bookViews>
  <sheets>
    <sheet name="Table" sheetId="2" r:id="rId1"/>
    <sheet name="Sheet" sheetId="4" r:id="rId2"/>
    <sheet name="Sheet3" sheetId="13" r:id="rId3"/>
    <sheet name="Sheet1" sheetId="8" r:id="rId4"/>
    <sheet name="Dashboard1" sheetId="5" r:id="rId5"/>
    <sheet name="Dashboard 2" sheetId="9" r:id="rId6"/>
    <sheet name="Dashboard 3" sheetId="10" r:id="rId7"/>
    <sheet name="Dashboard 4" sheetId="11" r:id="rId8"/>
    <sheet name="Dashboard 5" sheetId="12" r:id="rId9"/>
  </sheets>
  <definedNames>
    <definedName name="_xlcn.WorksheetConnection_customers.xlsxTable2_11" hidden="1">Table2_1[]</definedName>
    <definedName name="averageage">Sheet!$E$26</definedName>
    <definedName name="AvgAge">Sheet!$E$25</definedName>
    <definedName name="Avgamount1">Sheet1!$G$20</definedName>
    <definedName name="avgcreditscore">Sheet1!$M$2</definedName>
    <definedName name="AvgIncome">Sheet!$A$25</definedName>
    <definedName name="AvgresTime">Sheet1!$U$2</definedName>
    <definedName name="AvgTenure">Sheet!$C$26</definedName>
    <definedName name="complains">Sheet1!$S$2</definedName>
    <definedName name="count">Sheet1!$A$90</definedName>
    <definedName name="Customer">Sheet!$A$22</definedName>
    <definedName name="CWMA">Sheet1!$E$239</definedName>
    <definedName name="dkuh">Sheet!$E$25</definedName>
    <definedName name="ExternalData_1" localSheetId="0" hidden="1">Table!$A$1:$K$501</definedName>
    <definedName name="Income">Sheet!$C$23</definedName>
    <definedName name="lll">Sheet1!$K$37</definedName>
    <definedName name="loyal">Sheet!$L$31</definedName>
    <definedName name="mult.acc">Sheet1!$G$23</definedName>
    <definedName name="OPeracost">Sheet1!$A$84</definedName>
    <definedName name="paypercent">Sheet1!$K$34</definedName>
    <definedName name="percentdepo">Sheet1!$K$31</definedName>
    <definedName name="premiumc">Sheet1!$AK$2</definedName>
    <definedName name="profit">Sheet1!$A$87</definedName>
    <definedName name="resolutionrate">Sheet1!$W$7</definedName>
    <definedName name="resolved">Sheet1!$AO$6</definedName>
    <definedName name="Savings">Sheet1!$H$5</definedName>
    <definedName name="Slicer_Age_group">#N/A</definedName>
    <definedName name="Slicer_Customer_Segment">#N/A</definedName>
    <definedName name="Slicer_Customer_Segment1">#N/A</definedName>
    <definedName name="south">Sheet1!$N$80</definedName>
    <definedName name="tcomplains">Sheet1!$V$11</definedName>
    <definedName name="TFC">Sheet1!$AE$4</definedName>
    <definedName name="TotalAccount">Sheet1!$B$6</definedName>
    <definedName name="Totalamount1">Sheet1!$A$23</definedName>
    <definedName name="Totalapprovedloan">Sheet1!$K$3</definedName>
    <definedName name="TotalDeposit">Sheet1!$H$6</definedName>
    <definedName name="Totalrevenue">Sheet1!$A$81</definedName>
    <definedName name="TotalTransactions">Sheet1!$A$20</definedName>
    <definedName name="trans">Sheet1!$J$37</definedName>
    <definedName name="withd">Sheet1!$K$40</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 cacheId="30" r:id="rId40"/>
    <pivotCache cacheId="31" r:id="rId41"/>
    <pivotCache cacheId="32" r:id="rId42"/>
    <pivotCache cacheId="33" r:id="rId43"/>
    <pivotCache cacheId="34" r:id="rId44"/>
    <pivotCache cacheId="35" r:id="rId45"/>
    <pivotCache cacheId="36" r:id="rId46"/>
    <pivotCache cacheId="37" r:id="rId47"/>
    <pivotCache cacheId="38" r:id="rId48"/>
    <pivotCache cacheId="39" r:id="rId49"/>
    <pivotCache cacheId="40" r:id="rId50"/>
    <pivotCache cacheId="41" r:id="rId51"/>
    <pivotCache cacheId="42" r:id="rId52"/>
    <pivotCache cacheId="43" r:id="rId53"/>
    <pivotCache cacheId="44" r:id="rId54"/>
  </pivotCaches>
  <extLst>
    <ext xmlns:x14="http://schemas.microsoft.com/office/spreadsheetml/2009/9/main" uri="{876F7934-8845-4945-9796-88D515C7AA90}">
      <x14:pivotCaches>
        <pivotCache cacheId="45" r:id="rId55"/>
      </x14:pivotCaches>
    </ext>
    <ext xmlns:x14="http://schemas.microsoft.com/office/spreadsheetml/2009/9/main" uri="{BBE1A952-AA13-448e-AADC-164F8A28A991}">
      <x14:slicerCaches>
        <x14:slicerCache r:id="rId56"/>
        <x14:slicerCache r:id="rId57"/>
        <x14:slicerCache r:id="rId5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ccounts  2_ba2d0d49-6d49-42bb-bf9b-d4500cc9a37e" name="accounts  2" connection="Query - accounts (2)"/>
          <x15:modelTable id="transactions  3_273909b5-8de4-4846-8324-47d01f5109ac" name="transactions  3" connection="Query - transactions (3)"/>
          <x15:modelTable id="branches x_7c5d14b3-5182-483f-9fda-a1735e260601" name="branches x" connection="Query - branches x"/>
          <x15:modelTable id="complaints  1   1_3eb9410a-582e-4f7e-b730-2d7e9a88a339" name="complaints  1   1" connection="Query - complaints (1) (1)"/>
          <x15:modelTable id="Table2_1" name="Table2_1" connection="WorksheetConnection_customers.xlsx!Table2_1"/>
        </x15:modelTables>
        <x15:modelRelationships>
          <x15:modelRelationship fromTable="accounts  2" fromColumn="CustomerID" toTable="Table2_1" toColumn="CustomerID"/>
          <x15:modelRelationship fromTable="transactions  3" fromColumn="AccountID" toTable="accounts  2" toColumn="AccountID"/>
          <x15:modelRelationship fromTable="complaints  1   1" fromColumn="CustomerID" toTable="Table2_1" toColumn="CustomerID"/>
        </x15:modelRelationships>
        <x15:extLst>
          <ext xmlns:x16="http://schemas.microsoft.com/office/spreadsheetml/2014/11/main" uri="{9835A34E-60A6-4A7C-AAB8-D5F71C897F49}">
            <x16:modelTimeGroupings>
              <x16:modelTimeGrouping tableName="transactions  3"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accounts  2" columnName="Open_Date" columnId="Open_Date">
                <x16:calculatedTimeColumn columnName="Open_Date (Year)" columnId="Open_Date (Year)" contentType="years" isSelected="1"/>
                <x16:calculatedTimeColumn columnName="Open_Date (Quarter)" columnId="Open_Date (Quarter)" contentType="quarters" isSelected="1"/>
                <x16:calculatedTimeColumn columnName="Open_Date (Month Index)" columnId="Open_Date (Month Index)" contentType="monthsindex" isSelected="1"/>
                <x16:calculatedTimeColumn columnName="Open_Date (Month)" columnId="Ope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8" l="1"/>
  <c r="K41" i="8"/>
  <c r="K40" i="8"/>
  <c r="K38" i="8"/>
  <c r="K37" i="8"/>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K31" i="8"/>
  <c r="R107" i="8"/>
  <c r="S91" i="8"/>
  <c r="S96" i="8"/>
  <c r="R96" i="8"/>
  <c r="S97" i="8"/>
  <c r="R105" i="8"/>
  <c r="R89" i="8"/>
  <c r="R91" i="8"/>
  <c r="S104" i="8"/>
  <c r="R97" i="8"/>
  <c r="S93" i="8"/>
  <c r="S90" i="8"/>
  <c r="R94" i="8"/>
  <c r="S106" i="8"/>
  <c r="S99" i="8"/>
  <c r="S107" i="8"/>
  <c r="R88" i="8"/>
  <c r="R90" i="8"/>
  <c r="R102" i="8"/>
  <c r="R103" i="8"/>
  <c r="S100" i="8"/>
  <c r="R100" i="8"/>
  <c r="S105" i="8"/>
  <c r="K34" i="8"/>
  <c r="R98" i="8"/>
  <c r="R99" i="8"/>
  <c r="S102" i="8"/>
  <c r="S92" i="8"/>
  <c r="R92" i="8"/>
  <c r="S88" i="8"/>
  <c r="S94" i="8"/>
  <c r="S103" i="8"/>
  <c r="S101" i="8"/>
  <c r="R93" i="8"/>
  <c r="S89" i="8"/>
  <c r="R106" i="8"/>
  <c r="W7" i="8"/>
  <c r="S98" i="8"/>
  <c r="S95" i="8"/>
  <c r="R101" i="8"/>
  <c r="R104" i="8"/>
  <c r="R95" i="8"/>
  <c r="K35" i="8" l="1"/>
  <c r="K32" i="8"/>
  <c r="L2" i="2"/>
  <c r="M2" i="2" s="1" a="1"/>
  <c r="M2" i="2" s="1"/>
  <c r="L3" i="2"/>
  <c r="M3" i="2" s="1" a="1"/>
  <c r="M3" i="2" s="1"/>
  <c r="L4" i="2"/>
  <c r="M4" i="2" s="1" a="1"/>
  <c r="M4" i="2" s="1"/>
  <c r="L5" i="2"/>
  <c r="M5" i="2" s="1" a="1"/>
  <c r="M5" i="2" s="1"/>
  <c r="L6" i="2"/>
  <c r="M6" i="2" s="1" a="1"/>
  <c r="M6" i="2" s="1"/>
  <c r="L7" i="2"/>
  <c r="M7" i="2" s="1" a="1"/>
  <c r="M7" i="2" s="1"/>
  <c r="L8" i="2"/>
  <c r="M8" i="2" s="1" a="1"/>
  <c r="M8" i="2" s="1"/>
  <c r="L9" i="2"/>
  <c r="M9" i="2" s="1" a="1"/>
  <c r="M9" i="2" s="1"/>
  <c r="L10" i="2"/>
  <c r="M10" i="2" s="1" a="1"/>
  <c r="M10" i="2" s="1"/>
  <c r="L11" i="2"/>
  <c r="M11" i="2" s="1" a="1"/>
  <c r="M11" i="2" s="1"/>
  <c r="L12" i="2"/>
  <c r="M12" i="2" s="1" a="1"/>
  <c r="M12" i="2" s="1"/>
  <c r="L13" i="2"/>
  <c r="M13" i="2" s="1" a="1"/>
  <c r="M13" i="2" s="1"/>
  <c r="L14" i="2"/>
  <c r="M14" i="2" s="1" a="1"/>
  <c r="M14" i="2" s="1"/>
  <c r="L15" i="2"/>
  <c r="M15" i="2" s="1" a="1"/>
  <c r="M15" i="2" s="1"/>
  <c r="L16" i="2"/>
  <c r="M16" i="2" s="1" a="1"/>
  <c r="M16" i="2" s="1"/>
  <c r="L17" i="2"/>
  <c r="M17" i="2" s="1" a="1"/>
  <c r="M17" i="2" s="1"/>
  <c r="L18" i="2"/>
  <c r="M18" i="2" s="1" a="1"/>
  <c r="M18" i="2" s="1"/>
  <c r="L19" i="2"/>
  <c r="M19" i="2" s="1" a="1"/>
  <c r="M19" i="2" s="1"/>
  <c r="L20" i="2"/>
  <c r="M20" i="2" s="1" a="1"/>
  <c r="M20" i="2" s="1"/>
  <c r="L21" i="2"/>
  <c r="M21" i="2" s="1" a="1"/>
  <c r="M21" i="2" s="1"/>
  <c r="L22" i="2"/>
  <c r="M22" i="2" s="1" a="1"/>
  <c r="M22" i="2" s="1"/>
  <c r="L23" i="2"/>
  <c r="M23" i="2" s="1" a="1"/>
  <c r="M23" i="2" s="1"/>
  <c r="L24" i="2"/>
  <c r="M24" i="2" s="1" a="1"/>
  <c r="M24" i="2" s="1"/>
  <c r="L25" i="2"/>
  <c r="M25" i="2" s="1" a="1"/>
  <c r="M25" i="2" s="1"/>
  <c r="L26" i="2"/>
  <c r="M26" i="2" s="1" a="1"/>
  <c r="M26" i="2" s="1"/>
  <c r="L27" i="2"/>
  <c r="M27" i="2" s="1" a="1"/>
  <c r="M27" i="2" s="1"/>
  <c r="L28" i="2"/>
  <c r="M28" i="2" s="1" a="1"/>
  <c r="M28" i="2" s="1"/>
  <c r="L29" i="2"/>
  <c r="M29" i="2" s="1" a="1"/>
  <c r="M29" i="2" s="1"/>
  <c r="L30" i="2"/>
  <c r="M30" i="2" s="1" a="1"/>
  <c r="M30" i="2" s="1"/>
  <c r="L31" i="2"/>
  <c r="M31" i="2" s="1" a="1"/>
  <c r="M31" i="2" s="1"/>
  <c r="L32" i="2"/>
  <c r="M32" i="2" s="1" a="1"/>
  <c r="M32" i="2" s="1"/>
  <c r="L33" i="2"/>
  <c r="M33" i="2" s="1" a="1"/>
  <c r="M33" i="2" s="1"/>
  <c r="L34" i="2"/>
  <c r="M34" i="2" s="1" a="1"/>
  <c r="M34" i="2" s="1"/>
  <c r="L35" i="2"/>
  <c r="M35" i="2" s="1" a="1"/>
  <c r="M35" i="2" s="1"/>
  <c r="L36" i="2"/>
  <c r="M36" i="2" s="1" a="1"/>
  <c r="M36" i="2" s="1"/>
  <c r="L37" i="2"/>
  <c r="M37" i="2" s="1" a="1"/>
  <c r="M37" i="2" s="1"/>
  <c r="L38" i="2"/>
  <c r="M38" i="2" s="1" a="1"/>
  <c r="M38" i="2" s="1"/>
  <c r="L39" i="2"/>
  <c r="M39" i="2" s="1" a="1"/>
  <c r="M39" i="2" s="1"/>
  <c r="L40" i="2"/>
  <c r="M40" i="2" s="1" a="1"/>
  <c r="M40" i="2" s="1"/>
  <c r="L41" i="2"/>
  <c r="M41" i="2" s="1" a="1"/>
  <c r="M41" i="2" s="1"/>
  <c r="L42" i="2"/>
  <c r="M42" i="2" s="1" a="1"/>
  <c r="M42" i="2" s="1"/>
  <c r="L43" i="2"/>
  <c r="M43" i="2" s="1" a="1"/>
  <c r="M43" i="2" s="1"/>
  <c r="L44" i="2"/>
  <c r="M44" i="2" s="1" a="1"/>
  <c r="M44" i="2" s="1"/>
  <c r="L45" i="2"/>
  <c r="M45" i="2" s="1" a="1"/>
  <c r="M45" i="2" s="1"/>
  <c r="L46" i="2"/>
  <c r="M46" i="2" s="1" a="1"/>
  <c r="M46" i="2" s="1"/>
  <c r="L47" i="2"/>
  <c r="M47" i="2" s="1" a="1"/>
  <c r="M47" i="2" s="1"/>
  <c r="L48" i="2"/>
  <c r="M48" i="2" s="1" a="1"/>
  <c r="M48" i="2" s="1"/>
  <c r="L49" i="2"/>
  <c r="M49" i="2" s="1" a="1"/>
  <c r="M49" i="2" s="1"/>
  <c r="L50" i="2"/>
  <c r="M50" i="2" s="1" a="1"/>
  <c r="M50" i="2" s="1"/>
  <c r="L51" i="2"/>
  <c r="M51" i="2" s="1" a="1"/>
  <c r="M51" i="2" s="1"/>
  <c r="L52" i="2"/>
  <c r="M52" i="2" s="1" a="1"/>
  <c r="M52" i="2" s="1"/>
  <c r="L53" i="2"/>
  <c r="M53" i="2" s="1" a="1"/>
  <c r="M53" i="2" s="1"/>
  <c r="L54" i="2"/>
  <c r="M54" i="2" s="1" a="1"/>
  <c r="M54" i="2" s="1"/>
  <c r="L55" i="2"/>
  <c r="M55" i="2" s="1" a="1"/>
  <c r="M55" i="2" s="1"/>
  <c r="L56" i="2"/>
  <c r="M56" i="2" s="1" a="1"/>
  <c r="M56" i="2" s="1"/>
  <c r="L57" i="2"/>
  <c r="M57" i="2" s="1" a="1"/>
  <c r="M57" i="2" s="1"/>
  <c r="L58" i="2"/>
  <c r="M58" i="2" s="1" a="1"/>
  <c r="M58" i="2" s="1"/>
  <c r="L59" i="2"/>
  <c r="M59" i="2" s="1" a="1"/>
  <c r="M59" i="2" s="1"/>
  <c r="L60" i="2"/>
  <c r="M60" i="2" s="1" a="1"/>
  <c r="M60" i="2" s="1"/>
  <c r="L61" i="2"/>
  <c r="M61" i="2" s="1" a="1"/>
  <c r="M61" i="2" s="1"/>
  <c r="L62" i="2"/>
  <c r="M62" i="2" s="1" a="1"/>
  <c r="M62" i="2" s="1"/>
  <c r="L63" i="2"/>
  <c r="M63" i="2" s="1" a="1"/>
  <c r="M63" i="2" s="1"/>
  <c r="L64" i="2"/>
  <c r="M64" i="2" s="1" a="1"/>
  <c r="M64" i="2" s="1"/>
  <c r="L65" i="2"/>
  <c r="M65" i="2" s="1" a="1"/>
  <c r="M65" i="2" s="1"/>
  <c r="L66" i="2"/>
  <c r="M66" i="2" s="1" a="1"/>
  <c r="M66" i="2" s="1"/>
  <c r="L67" i="2"/>
  <c r="M67" i="2" s="1" a="1"/>
  <c r="M67" i="2" s="1"/>
  <c r="L68" i="2"/>
  <c r="M68" i="2" s="1" a="1"/>
  <c r="M68" i="2" s="1"/>
  <c r="L69" i="2"/>
  <c r="M69" i="2" s="1" a="1"/>
  <c r="M69" i="2" s="1"/>
  <c r="L70" i="2"/>
  <c r="M70" i="2" s="1" a="1"/>
  <c r="M70" i="2" s="1"/>
  <c r="L71" i="2"/>
  <c r="M71" i="2" s="1" a="1"/>
  <c r="M71" i="2" s="1"/>
  <c r="L72" i="2"/>
  <c r="M72" i="2" s="1" a="1"/>
  <c r="M72" i="2" s="1"/>
  <c r="L73" i="2"/>
  <c r="M73" i="2" s="1" a="1"/>
  <c r="M73" i="2" s="1"/>
  <c r="L74" i="2"/>
  <c r="M74" i="2" s="1" a="1"/>
  <c r="M74" i="2" s="1"/>
  <c r="L75" i="2"/>
  <c r="M75" i="2" s="1" a="1"/>
  <c r="M75" i="2" s="1"/>
  <c r="L76" i="2"/>
  <c r="M76" i="2" s="1" a="1"/>
  <c r="M76" i="2" s="1"/>
  <c r="L77" i="2"/>
  <c r="M77" i="2" s="1" a="1"/>
  <c r="M77" i="2" s="1"/>
  <c r="L78" i="2"/>
  <c r="M78" i="2" s="1" a="1"/>
  <c r="M78" i="2" s="1"/>
  <c r="L79" i="2"/>
  <c r="M79" i="2" s="1" a="1"/>
  <c r="M79" i="2" s="1"/>
  <c r="L80" i="2"/>
  <c r="M80" i="2" s="1" a="1"/>
  <c r="M80" i="2" s="1"/>
  <c r="L81" i="2"/>
  <c r="M81" i="2" s="1" a="1"/>
  <c r="M81" i="2" s="1"/>
  <c r="L82" i="2"/>
  <c r="M82" i="2" s="1" a="1"/>
  <c r="M82" i="2" s="1"/>
  <c r="L83" i="2"/>
  <c r="M83" i="2" s="1" a="1"/>
  <c r="M83" i="2" s="1"/>
  <c r="L84" i="2"/>
  <c r="M84" i="2" s="1" a="1"/>
  <c r="M84" i="2" s="1"/>
  <c r="L85" i="2"/>
  <c r="M85" i="2" s="1" a="1"/>
  <c r="M85" i="2" s="1"/>
  <c r="L86" i="2"/>
  <c r="M86" i="2" s="1" a="1"/>
  <c r="M86" i="2" s="1"/>
  <c r="L87" i="2"/>
  <c r="M87" i="2" s="1" a="1"/>
  <c r="M87" i="2" s="1"/>
  <c r="L88" i="2"/>
  <c r="M88" i="2" s="1" a="1"/>
  <c r="M88" i="2" s="1"/>
  <c r="L89" i="2"/>
  <c r="M89" i="2" s="1" a="1"/>
  <c r="M89" i="2" s="1"/>
  <c r="L90" i="2"/>
  <c r="M90" i="2" s="1" a="1"/>
  <c r="M90" i="2" s="1"/>
  <c r="L91" i="2"/>
  <c r="M91" i="2" s="1" a="1"/>
  <c r="M91" i="2" s="1"/>
  <c r="L92" i="2"/>
  <c r="M92" i="2" s="1" a="1"/>
  <c r="M92" i="2" s="1"/>
  <c r="L93" i="2"/>
  <c r="M93" i="2" s="1" a="1"/>
  <c r="M93" i="2" s="1"/>
  <c r="L94" i="2"/>
  <c r="M94" i="2" s="1" a="1"/>
  <c r="M94" i="2" s="1"/>
  <c r="L95" i="2"/>
  <c r="M95" i="2" s="1" a="1"/>
  <c r="M95" i="2" s="1"/>
  <c r="L96" i="2"/>
  <c r="M96" i="2" s="1" a="1"/>
  <c r="M96" i="2" s="1"/>
  <c r="L97" i="2"/>
  <c r="M97" i="2" s="1" a="1"/>
  <c r="M97" i="2" s="1"/>
  <c r="L98" i="2"/>
  <c r="M98" i="2" s="1" a="1"/>
  <c r="M98" i="2" s="1"/>
  <c r="L99" i="2"/>
  <c r="M99" i="2" s="1" a="1"/>
  <c r="M99" i="2" s="1"/>
  <c r="L100" i="2"/>
  <c r="M100" i="2" s="1" a="1"/>
  <c r="M100" i="2" s="1"/>
  <c r="L101" i="2"/>
  <c r="M101" i="2" s="1" a="1"/>
  <c r="M101" i="2" s="1"/>
  <c r="L102" i="2"/>
  <c r="M102" i="2" s="1" a="1"/>
  <c r="M102" i="2" s="1"/>
  <c r="L103" i="2"/>
  <c r="M103" i="2" s="1" a="1"/>
  <c r="M103" i="2" s="1"/>
  <c r="L104" i="2"/>
  <c r="M104" i="2" s="1" a="1"/>
  <c r="M104" i="2" s="1"/>
  <c r="L105" i="2"/>
  <c r="M105" i="2" s="1" a="1"/>
  <c r="M105" i="2" s="1"/>
  <c r="L106" i="2"/>
  <c r="M106" i="2" s="1" a="1"/>
  <c r="M106" i="2" s="1"/>
  <c r="L107" i="2"/>
  <c r="M107" i="2" s="1" a="1"/>
  <c r="M107" i="2" s="1"/>
  <c r="L108" i="2"/>
  <c r="M108" i="2" s="1" a="1"/>
  <c r="M108" i="2" s="1"/>
  <c r="L109" i="2"/>
  <c r="M109" i="2" s="1" a="1"/>
  <c r="M109" i="2" s="1"/>
  <c r="L110" i="2"/>
  <c r="M110" i="2" s="1" a="1"/>
  <c r="M110" i="2" s="1"/>
  <c r="L111" i="2"/>
  <c r="M111" i="2" s="1" a="1"/>
  <c r="M111" i="2" s="1"/>
  <c r="L112" i="2"/>
  <c r="M112" i="2" s="1" a="1"/>
  <c r="M112" i="2" s="1"/>
  <c r="L113" i="2"/>
  <c r="M113" i="2" s="1" a="1"/>
  <c r="M113" i="2" s="1"/>
  <c r="L114" i="2"/>
  <c r="M114" i="2" s="1" a="1"/>
  <c r="M114" i="2" s="1"/>
  <c r="L115" i="2"/>
  <c r="M115" i="2" s="1" a="1"/>
  <c r="M115" i="2" s="1"/>
  <c r="L116" i="2"/>
  <c r="M116" i="2" s="1" a="1"/>
  <c r="M116" i="2" s="1"/>
  <c r="L117" i="2"/>
  <c r="M117" i="2" s="1" a="1"/>
  <c r="M117" i="2" s="1"/>
  <c r="L118" i="2"/>
  <c r="M118" i="2" s="1" a="1"/>
  <c r="M118" i="2" s="1"/>
  <c r="L119" i="2"/>
  <c r="M119" i="2" s="1" a="1"/>
  <c r="M119" i="2" s="1"/>
  <c r="L120" i="2"/>
  <c r="M120" i="2" s="1" a="1"/>
  <c r="M120" i="2" s="1"/>
  <c r="L121" i="2"/>
  <c r="M121" i="2" s="1" a="1"/>
  <c r="M121" i="2" s="1"/>
  <c r="L122" i="2"/>
  <c r="M122" i="2" s="1" a="1"/>
  <c r="M122" i="2" s="1"/>
  <c r="L123" i="2"/>
  <c r="M123" i="2" s="1" a="1"/>
  <c r="M123" i="2" s="1"/>
  <c r="L124" i="2"/>
  <c r="M124" i="2" s="1" a="1"/>
  <c r="M124" i="2" s="1"/>
  <c r="L125" i="2"/>
  <c r="M125" i="2" s="1" a="1"/>
  <c r="M125" i="2" s="1"/>
  <c r="L126" i="2"/>
  <c r="M126" i="2" s="1" a="1"/>
  <c r="M126" i="2" s="1"/>
  <c r="L127" i="2"/>
  <c r="M127" i="2" s="1" a="1"/>
  <c r="M127" i="2" s="1"/>
  <c r="L128" i="2"/>
  <c r="M128" i="2" s="1" a="1"/>
  <c r="M128" i="2" s="1"/>
  <c r="L129" i="2"/>
  <c r="M129" i="2" s="1" a="1"/>
  <c r="M129" i="2" s="1"/>
  <c r="L130" i="2"/>
  <c r="M130" i="2" s="1" a="1"/>
  <c r="M130" i="2" s="1"/>
  <c r="L131" i="2"/>
  <c r="M131" i="2" s="1" a="1"/>
  <c r="M131" i="2" s="1"/>
  <c r="L132" i="2"/>
  <c r="M132" i="2" s="1" a="1"/>
  <c r="M132" i="2" s="1"/>
  <c r="L133" i="2"/>
  <c r="M133" i="2" s="1" a="1"/>
  <c r="M133" i="2" s="1"/>
  <c r="L134" i="2"/>
  <c r="M134" i="2" s="1" a="1"/>
  <c r="M134" i="2" s="1"/>
  <c r="L135" i="2"/>
  <c r="M135" i="2" s="1" a="1"/>
  <c r="M135" i="2" s="1"/>
  <c r="L136" i="2"/>
  <c r="M136" i="2" s="1" a="1"/>
  <c r="M136" i="2" s="1"/>
  <c r="L137" i="2"/>
  <c r="M137" i="2" s="1" a="1"/>
  <c r="M137" i="2" s="1"/>
  <c r="L138" i="2"/>
  <c r="M138" i="2" s="1" a="1"/>
  <c r="M138" i="2" s="1"/>
  <c r="L139" i="2"/>
  <c r="M139" i="2" s="1" a="1"/>
  <c r="M139" i="2" s="1"/>
  <c r="L140" i="2"/>
  <c r="M140" i="2" s="1" a="1"/>
  <c r="M140" i="2" s="1"/>
  <c r="L141" i="2"/>
  <c r="M141" i="2" s="1" a="1"/>
  <c r="M141" i="2" s="1"/>
  <c r="L142" i="2"/>
  <c r="M142" i="2" s="1" a="1"/>
  <c r="M142" i="2" s="1"/>
  <c r="L143" i="2"/>
  <c r="M143" i="2" s="1" a="1"/>
  <c r="M143" i="2" s="1"/>
  <c r="L144" i="2"/>
  <c r="M144" i="2" s="1" a="1"/>
  <c r="M144" i="2" s="1"/>
  <c r="L145" i="2"/>
  <c r="M145" i="2" s="1" a="1"/>
  <c r="M145" i="2" s="1"/>
  <c r="L146" i="2"/>
  <c r="M146" i="2" s="1" a="1"/>
  <c r="M146" i="2" s="1"/>
  <c r="L147" i="2"/>
  <c r="M147" i="2" s="1" a="1"/>
  <c r="M147" i="2" s="1"/>
  <c r="L148" i="2"/>
  <c r="M148" i="2" s="1" a="1"/>
  <c r="M148" i="2" s="1"/>
  <c r="L149" i="2"/>
  <c r="M149" i="2" s="1" a="1"/>
  <c r="M149" i="2" s="1"/>
  <c r="L150" i="2"/>
  <c r="M150" i="2" s="1" a="1"/>
  <c r="M150" i="2" s="1"/>
  <c r="L151" i="2"/>
  <c r="M151" i="2" s="1" a="1"/>
  <c r="M151" i="2" s="1"/>
  <c r="L152" i="2"/>
  <c r="M152" i="2" s="1" a="1"/>
  <c r="M152" i="2" s="1"/>
  <c r="L153" i="2"/>
  <c r="M153" i="2" s="1" a="1"/>
  <c r="M153" i="2" s="1"/>
  <c r="L154" i="2"/>
  <c r="M154" i="2" s="1" a="1"/>
  <c r="M154" i="2" s="1"/>
  <c r="L155" i="2"/>
  <c r="M155" i="2" s="1" a="1"/>
  <c r="M155" i="2" s="1"/>
  <c r="L156" i="2"/>
  <c r="M156" i="2" s="1" a="1"/>
  <c r="M156" i="2" s="1"/>
  <c r="L157" i="2"/>
  <c r="M157" i="2" s="1" a="1"/>
  <c r="M157" i="2" s="1"/>
  <c r="L158" i="2"/>
  <c r="M158" i="2" s="1" a="1"/>
  <c r="M158" i="2" s="1"/>
  <c r="L159" i="2"/>
  <c r="M159" i="2" s="1" a="1"/>
  <c r="M159" i="2" s="1"/>
  <c r="L160" i="2"/>
  <c r="M160" i="2" s="1" a="1"/>
  <c r="M160" i="2" s="1"/>
  <c r="L161" i="2"/>
  <c r="M161" i="2" s="1" a="1"/>
  <c r="M161" i="2" s="1"/>
  <c r="L162" i="2"/>
  <c r="M162" i="2" s="1" a="1"/>
  <c r="M162" i="2" s="1"/>
  <c r="L163" i="2"/>
  <c r="M163" i="2" s="1" a="1"/>
  <c r="M163" i="2" s="1"/>
  <c r="L164" i="2"/>
  <c r="M164" i="2" s="1" a="1"/>
  <c r="M164" i="2" s="1"/>
  <c r="L165" i="2"/>
  <c r="M165" i="2" s="1" a="1"/>
  <c r="M165" i="2" s="1"/>
  <c r="L166" i="2"/>
  <c r="M166" i="2" s="1" a="1"/>
  <c r="M166" i="2" s="1"/>
  <c r="L167" i="2"/>
  <c r="M167" i="2" s="1" a="1"/>
  <c r="M167" i="2" s="1"/>
  <c r="L168" i="2"/>
  <c r="M168" i="2" s="1" a="1"/>
  <c r="M168" i="2" s="1"/>
  <c r="L169" i="2"/>
  <c r="M169" i="2" s="1" a="1"/>
  <c r="M169" i="2" s="1"/>
  <c r="L170" i="2"/>
  <c r="M170" i="2" s="1" a="1"/>
  <c r="M170" i="2" s="1"/>
  <c r="L171" i="2"/>
  <c r="M171" i="2" s="1" a="1"/>
  <c r="M171" i="2" s="1"/>
  <c r="L172" i="2"/>
  <c r="M172" i="2" s="1" a="1"/>
  <c r="M172" i="2" s="1"/>
  <c r="L173" i="2"/>
  <c r="M173" i="2" s="1" a="1"/>
  <c r="M173" i="2" s="1"/>
  <c r="L174" i="2"/>
  <c r="M174" i="2" s="1" a="1"/>
  <c r="M174" i="2" s="1"/>
  <c r="L175" i="2"/>
  <c r="M175" i="2" s="1" a="1"/>
  <c r="M175" i="2" s="1"/>
  <c r="L176" i="2"/>
  <c r="M176" i="2" s="1" a="1"/>
  <c r="M176" i="2" s="1"/>
  <c r="L177" i="2"/>
  <c r="M177" i="2" s="1" a="1"/>
  <c r="M177" i="2" s="1"/>
  <c r="L178" i="2"/>
  <c r="M178" i="2" s="1" a="1"/>
  <c r="M178" i="2" s="1"/>
  <c r="L179" i="2"/>
  <c r="M179" i="2" s="1" a="1"/>
  <c r="M179" i="2" s="1"/>
  <c r="L180" i="2"/>
  <c r="M180" i="2" s="1" a="1"/>
  <c r="M180" i="2" s="1"/>
  <c r="L181" i="2"/>
  <c r="M181" i="2" s="1" a="1"/>
  <c r="M181" i="2" s="1"/>
  <c r="L182" i="2"/>
  <c r="M182" i="2" s="1" a="1"/>
  <c r="M182" i="2" s="1"/>
  <c r="L183" i="2"/>
  <c r="M183" i="2" s="1" a="1"/>
  <c r="M183" i="2" s="1"/>
  <c r="L184" i="2"/>
  <c r="M184" i="2" s="1" a="1"/>
  <c r="M184" i="2" s="1"/>
  <c r="L185" i="2"/>
  <c r="M185" i="2" s="1" a="1"/>
  <c r="M185" i="2" s="1"/>
  <c r="L186" i="2"/>
  <c r="M186" i="2" s="1" a="1"/>
  <c r="M186" i="2" s="1"/>
  <c r="L187" i="2"/>
  <c r="M187" i="2" s="1" a="1"/>
  <c r="M187" i="2" s="1"/>
  <c r="L188" i="2"/>
  <c r="M188" i="2" s="1" a="1"/>
  <c r="M188" i="2" s="1"/>
  <c r="L189" i="2"/>
  <c r="M189" i="2" s="1" a="1"/>
  <c r="M189" i="2" s="1"/>
  <c r="L190" i="2"/>
  <c r="M190" i="2" s="1" a="1"/>
  <c r="M190" i="2" s="1"/>
  <c r="L191" i="2"/>
  <c r="M191" i="2" s="1" a="1"/>
  <c r="M191" i="2" s="1"/>
  <c r="L192" i="2"/>
  <c r="M192" i="2" s="1" a="1"/>
  <c r="M192" i="2" s="1"/>
  <c r="L193" i="2"/>
  <c r="M193" i="2" s="1" a="1"/>
  <c r="M193" i="2" s="1"/>
  <c r="L194" i="2"/>
  <c r="M194" i="2" s="1" a="1"/>
  <c r="M194" i="2" s="1"/>
  <c r="L195" i="2"/>
  <c r="M195" i="2" s="1" a="1"/>
  <c r="M195" i="2" s="1"/>
  <c r="L196" i="2"/>
  <c r="M196" i="2" s="1" a="1"/>
  <c r="M196" i="2" s="1"/>
  <c r="L197" i="2"/>
  <c r="M197" i="2" s="1" a="1"/>
  <c r="M197" i="2" s="1"/>
  <c r="L198" i="2"/>
  <c r="M198" i="2" s="1" a="1"/>
  <c r="M198" i="2" s="1"/>
  <c r="L199" i="2"/>
  <c r="M199" i="2" s="1" a="1"/>
  <c r="M199" i="2" s="1"/>
  <c r="L200" i="2"/>
  <c r="M200" i="2" s="1" a="1"/>
  <c r="M200" i="2" s="1"/>
  <c r="L201" i="2"/>
  <c r="M201" i="2" s="1" a="1"/>
  <c r="M201" i="2" s="1"/>
  <c r="L202" i="2"/>
  <c r="M202" i="2" s="1" a="1"/>
  <c r="M202" i="2" s="1"/>
  <c r="L203" i="2"/>
  <c r="M203" i="2" s="1" a="1"/>
  <c r="M203" i="2" s="1"/>
  <c r="L204" i="2"/>
  <c r="M204" i="2" s="1" a="1"/>
  <c r="M204" i="2" s="1"/>
  <c r="L205" i="2"/>
  <c r="M205" i="2" s="1" a="1"/>
  <c r="M205" i="2" s="1"/>
  <c r="L206" i="2"/>
  <c r="M206" i="2" s="1" a="1"/>
  <c r="M206" i="2" s="1"/>
  <c r="L207" i="2"/>
  <c r="M207" i="2" s="1" a="1"/>
  <c r="M207" i="2" s="1"/>
  <c r="L208" i="2"/>
  <c r="M208" i="2" s="1" a="1"/>
  <c r="M208" i="2" s="1"/>
  <c r="L209" i="2"/>
  <c r="M209" i="2" s="1" a="1"/>
  <c r="M209" i="2" s="1"/>
  <c r="L210" i="2"/>
  <c r="M210" i="2" s="1" a="1"/>
  <c r="M210" i="2" s="1"/>
  <c r="L211" i="2"/>
  <c r="M211" i="2" s="1" a="1"/>
  <c r="M211" i="2" s="1"/>
  <c r="L212" i="2"/>
  <c r="M212" i="2" s="1" a="1"/>
  <c r="M212" i="2" s="1"/>
  <c r="L213" i="2"/>
  <c r="M213" i="2" s="1" a="1"/>
  <c r="M213" i="2" s="1"/>
  <c r="L214" i="2"/>
  <c r="M214" i="2" s="1" a="1"/>
  <c r="M214" i="2" s="1"/>
  <c r="L215" i="2"/>
  <c r="M215" i="2" s="1" a="1"/>
  <c r="M215" i="2" s="1"/>
  <c r="L216" i="2"/>
  <c r="M216" i="2" s="1" a="1"/>
  <c r="M216" i="2" s="1"/>
  <c r="L217" i="2"/>
  <c r="M217" i="2" s="1" a="1"/>
  <c r="M217" i="2" s="1"/>
  <c r="L218" i="2"/>
  <c r="M218" i="2" s="1" a="1"/>
  <c r="M218" i="2" s="1"/>
  <c r="L219" i="2"/>
  <c r="M219" i="2" s="1" a="1"/>
  <c r="M219" i="2" s="1"/>
  <c r="L220" i="2"/>
  <c r="M220" i="2" s="1" a="1"/>
  <c r="M220" i="2" s="1"/>
  <c r="L221" i="2"/>
  <c r="M221" i="2" s="1" a="1"/>
  <c r="M221" i="2" s="1"/>
  <c r="L222" i="2"/>
  <c r="M222" i="2" s="1" a="1"/>
  <c r="M222" i="2" s="1"/>
  <c r="L223" i="2"/>
  <c r="M223" i="2" s="1" a="1"/>
  <c r="M223" i="2" s="1"/>
  <c r="L224" i="2"/>
  <c r="M224" i="2" s="1" a="1"/>
  <c r="M224" i="2" s="1"/>
  <c r="L225" i="2"/>
  <c r="M225" i="2" s="1" a="1"/>
  <c r="M225" i="2" s="1"/>
  <c r="L226" i="2"/>
  <c r="M226" i="2" s="1" a="1"/>
  <c r="M226" i="2" s="1"/>
  <c r="L227" i="2"/>
  <c r="M227" i="2" s="1" a="1"/>
  <c r="M227" i="2" s="1"/>
  <c r="L228" i="2"/>
  <c r="M228" i="2" s="1" a="1"/>
  <c r="M228" i="2" s="1"/>
  <c r="L229" i="2"/>
  <c r="M229" i="2" s="1" a="1"/>
  <c r="M229" i="2" s="1"/>
  <c r="L230" i="2"/>
  <c r="M230" i="2" s="1" a="1"/>
  <c r="M230" i="2" s="1"/>
  <c r="L231" i="2"/>
  <c r="M231" i="2" s="1" a="1"/>
  <c r="M231" i="2" s="1"/>
  <c r="L232" i="2"/>
  <c r="M232" i="2" s="1" a="1"/>
  <c r="M232" i="2" s="1"/>
  <c r="L233" i="2"/>
  <c r="M233" i="2" s="1" a="1"/>
  <c r="M233" i="2" s="1"/>
  <c r="L234" i="2"/>
  <c r="M234" i="2" s="1" a="1"/>
  <c r="M234" i="2" s="1"/>
  <c r="L235" i="2"/>
  <c r="M235" i="2" s="1" a="1"/>
  <c r="M235" i="2" s="1"/>
  <c r="L236" i="2"/>
  <c r="M236" i="2" s="1" a="1"/>
  <c r="M236" i="2" s="1"/>
  <c r="L237" i="2"/>
  <c r="M237" i="2" s="1" a="1"/>
  <c r="M237" i="2" s="1"/>
  <c r="L238" i="2"/>
  <c r="M238" i="2" s="1" a="1"/>
  <c r="M238" i="2" s="1"/>
  <c r="L239" i="2"/>
  <c r="M239" i="2" s="1" a="1"/>
  <c r="M239" i="2" s="1"/>
  <c r="L240" i="2"/>
  <c r="M240" i="2" s="1" a="1"/>
  <c r="M240" i="2" s="1"/>
  <c r="L241" i="2"/>
  <c r="M241" i="2" s="1" a="1"/>
  <c r="M241" i="2" s="1"/>
  <c r="L242" i="2"/>
  <c r="M242" i="2" s="1" a="1"/>
  <c r="M242" i="2" s="1"/>
  <c r="L243" i="2"/>
  <c r="M243" i="2" s="1" a="1"/>
  <c r="M243" i="2" s="1"/>
  <c r="L244" i="2"/>
  <c r="M244" i="2" s="1" a="1"/>
  <c r="M244" i="2" s="1"/>
  <c r="L245" i="2"/>
  <c r="M245" i="2" s="1" a="1"/>
  <c r="M245" i="2" s="1"/>
  <c r="L246" i="2"/>
  <c r="M246" i="2" s="1" a="1"/>
  <c r="M246" i="2" s="1"/>
  <c r="L247" i="2"/>
  <c r="M247" i="2" s="1" a="1"/>
  <c r="M247" i="2" s="1"/>
  <c r="L248" i="2"/>
  <c r="M248" i="2" s="1" a="1"/>
  <c r="M248" i="2" s="1"/>
  <c r="L249" i="2"/>
  <c r="M249" i="2" s="1" a="1"/>
  <c r="M249" i="2" s="1"/>
  <c r="L250" i="2"/>
  <c r="M250" i="2" s="1" a="1"/>
  <c r="M250" i="2" s="1"/>
  <c r="L251" i="2"/>
  <c r="M251" i="2" s="1" a="1"/>
  <c r="M251" i="2" s="1"/>
  <c r="L252" i="2"/>
  <c r="M252" i="2" s="1" a="1"/>
  <c r="M252" i="2" s="1"/>
  <c r="L253" i="2"/>
  <c r="M253" i="2" s="1" a="1"/>
  <c r="M253" i="2" s="1"/>
  <c r="L254" i="2"/>
  <c r="M254" i="2" s="1" a="1"/>
  <c r="M254" i="2" s="1"/>
  <c r="L255" i="2"/>
  <c r="M255" i="2" s="1" a="1"/>
  <c r="M255" i="2" s="1"/>
  <c r="L256" i="2"/>
  <c r="M256" i="2" s="1" a="1"/>
  <c r="M256" i="2" s="1"/>
  <c r="L257" i="2"/>
  <c r="M257" i="2" s="1" a="1"/>
  <c r="M257" i="2" s="1"/>
  <c r="L258" i="2"/>
  <c r="M258" i="2" s="1" a="1"/>
  <c r="M258" i="2" s="1"/>
  <c r="L259" i="2"/>
  <c r="M259" i="2" s="1" a="1"/>
  <c r="M259" i="2" s="1"/>
  <c r="L260" i="2"/>
  <c r="M260" i="2" s="1" a="1"/>
  <c r="M260" i="2" s="1"/>
  <c r="L261" i="2"/>
  <c r="M261" i="2" s="1" a="1"/>
  <c r="M261" i="2" s="1"/>
  <c r="L262" i="2"/>
  <c r="M262" i="2" s="1" a="1"/>
  <c r="M262" i="2" s="1"/>
  <c r="L263" i="2"/>
  <c r="M263" i="2" s="1" a="1"/>
  <c r="M263" i="2" s="1"/>
  <c r="L264" i="2"/>
  <c r="M264" i="2" s="1" a="1"/>
  <c r="M264" i="2" s="1"/>
  <c r="L265" i="2"/>
  <c r="M265" i="2" s="1" a="1"/>
  <c r="M265" i="2" s="1"/>
  <c r="L266" i="2"/>
  <c r="M266" i="2" s="1" a="1"/>
  <c r="M266" i="2" s="1"/>
  <c r="L267" i="2"/>
  <c r="M267" i="2" s="1" a="1"/>
  <c r="M267" i="2" s="1"/>
  <c r="L268" i="2"/>
  <c r="M268" i="2" s="1" a="1"/>
  <c r="M268" i="2" s="1"/>
  <c r="L269" i="2"/>
  <c r="M269" i="2" s="1" a="1"/>
  <c r="M269" i="2" s="1"/>
  <c r="L270" i="2"/>
  <c r="M270" i="2" s="1" a="1"/>
  <c r="M270" i="2" s="1"/>
  <c r="L271" i="2"/>
  <c r="M271" i="2" s="1" a="1"/>
  <c r="M271" i="2" s="1"/>
  <c r="L272" i="2"/>
  <c r="M272" i="2" s="1" a="1"/>
  <c r="M272" i="2" s="1"/>
  <c r="L273" i="2"/>
  <c r="M273" i="2" s="1" a="1"/>
  <c r="M273" i="2" s="1"/>
  <c r="L274" i="2"/>
  <c r="M274" i="2" s="1" a="1"/>
  <c r="M274" i="2" s="1"/>
  <c r="L275" i="2"/>
  <c r="M275" i="2" s="1" a="1"/>
  <c r="M275" i="2" s="1"/>
  <c r="L276" i="2"/>
  <c r="M276" i="2" s="1" a="1"/>
  <c r="M276" i="2" s="1"/>
  <c r="L277" i="2"/>
  <c r="M277" i="2" s="1" a="1"/>
  <c r="M277" i="2" s="1"/>
  <c r="L278" i="2"/>
  <c r="M278" i="2" s="1" a="1"/>
  <c r="M278" i="2" s="1"/>
  <c r="L279" i="2"/>
  <c r="M279" i="2" s="1" a="1"/>
  <c r="M279" i="2" s="1"/>
  <c r="L280" i="2"/>
  <c r="M280" i="2" s="1" a="1"/>
  <c r="M280" i="2" s="1"/>
  <c r="L281" i="2"/>
  <c r="M281" i="2" s="1" a="1"/>
  <c r="M281" i="2" s="1"/>
  <c r="L282" i="2"/>
  <c r="M282" i="2" s="1" a="1"/>
  <c r="M282" i="2" s="1"/>
  <c r="L283" i="2"/>
  <c r="M283" i="2" s="1" a="1"/>
  <c r="M283" i="2" s="1"/>
  <c r="L284" i="2"/>
  <c r="M284" i="2" s="1" a="1"/>
  <c r="M284" i="2" s="1"/>
  <c r="L285" i="2"/>
  <c r="M285" i="2" s="1" a="1"/>
  <c r="M285" i="2" s="1"/>
  <c r="L286" i="2"/>
  <c r="M286" i="2" s="1" a="1"/>
  <c r="M286" i="2" s="1"/>
  <c r="L287" i="2"/>
  <c r="M287" i="2" s="1" a="1"/>
  <c r="M287" i="2" s="1"/>
  <c r="L288" i="2"/>
  <c r="M288" i="2" s="1" a="1"/>
  <c r="M288" i="2" s="1"/>
  <c r="L289" i="2"/>
  <c r="M289" i="2" s="1" a="1"/>
  <c r="M289" i="2" s="1"/>
  <c r="L290" i="2"/>
  <c r="M290" i="2" s="1" a="1"/>
  <c r="M290" i="2" s="1"/>
  <c r="L291" i="2"/>
  <c r="M291" i="2" s="1" a="1"/>
  <c r="M291" i="2" s="1"/>
  <c r="L292" i="2"/>
  <c r="M292" i="2" s="1" a="1"/>
  <c r="M292" i="2" s="1"/>
  <c r="L293" i="2"/>
  <c r="M293" i="2" s="1" a="1"/>
  <c r="M293" i="2" s="1"/>
  <c r="L294" i="2"/>
  <c r="M294" i="2" s="1" a="1"/>
  <c r="M294" i="2" s="1"/>
  <c r="L295" i="2"/>
  <c r="M295" i="2" s="1" a="1"/>
  <c r="M295" i="2" s="1"/>
  <c r="L296" i="2"/>
  <c r="M296" i="2" s="1" a="1"/>
  <c r="M296" i="2" s="1"/>
  <c r="L297" i="2"/>
  <c r="M297" i="2" s="1" a="1"/>
  <c r="M297" i="2" s="1"/>
  <c r="L298" i="2"/>
  <c r="M298" i="2" s="1" a="1"/>
  <c r="M298" i="2" s="1"/>
  <c r="L299" i="2"/>
  <c r="M299" i="2" s="1" a="1"/>
  <c r="M299" i="2" s="1"/>
  <c r="L300" i="2"/>
  <c r="M300" i="2" s="1" a="1"/>
  <c r="M300" i="2" s="1"/>
  <c r="L301" i="2"/>
  <c r="M301" i="2" s="1" a="1"/>
  <c r="M301" i="2" s="1"/>
  <c r="L302" i="2"/>
  <c r="M302" i="2" s="1" a="1"/>
  <c r="M302" i="2" s="1"/>
  <c r="L303" i="2"/>
  <c r="M303" i="2" s="1" a="1"/>
  <c r="M303" i="2" s="1"/>
  <c r="L304" i="2"/>
  <c r="M304" i="2" s="1" a="1"/>
  <c r="M304" i="2" s="1"/>
  <c r="L305" i="2"/>
  <c r="M305" i="2" s="1" a="1"/>
  <c r="M305" i="2" s="1"/>
  <c r="L306" i="2"/>
  <c r="M306" i="2" s="1" a="1"/>
  <c r="M306" i="2" s="1"/>
  <c r="L307" i="2"/>
  <c r="M307" i="2" s="1" a="1"/>
  <c r="M307" i="2" s="1"/>
  <c r="L308" i="2"/>
  <c r="M308" i="2" s="1" a="1"/>
  <c r="M308" i="2" s="1"/>
  <c r="L309" i="2"/>
  <c r="M309" i="2" s="1" a="1"/>
  <c r="M309" i="2" s="1"/>
  <c r="L310" i="2"/>
  <c r="M310" i="2" s="1" a="1"/>
  <c r="M310" i="2" s="1"/>
  <c r="L311" i="2"/>
  <c r="M311" i="2" s="1" a="1"/>
  <c r="M311" i="2" s="1"/>
  <c r="L312" i="2"/>
  <c r="M312" i="2" s="1" a="1"/>
  <c r="M312" i="2" s="1"/>
  <c r="L313" i="2"/>
  <c r="M313" i="2" s="1" a="1"/>
  <c r="M313" i="2" s="1"/>
  <c r="L314" i="2"/>
  <c r="M314" i="2" s="1" a="1"/>
  <c r="M314" i="2" s="1"/>
  <c r="L315" i="2"/>
  <c r="M315" i="2" s="1" a="1"/>
  <c r="M315" i="2" s="1"/>
  <c r="L316" i="2"/>
  <c r="M316" i="2" s="1" a="1"/>
  <c r="M316" i="2" s="1"/>
  <c r="L317" i="2"/>
  <c r="M317" i="2" s="1" a="1"/>
  <c r="M317" i="2" s="1"/>
  <c r="L318" i="2"/>
  <c r="M318" i="2" s="1" a="1"/>
  <c r="M318" i="2" s="1"/>
  <c r="L319" i="2"/>
  <c r="M319" i="2" s="1" a="1"/>
  <c r="M319" i="2" s="1"/>
  <c r="L320" i="2"/>
  <c r="M320" i="2" s="1" a="1"/>
  <c r="M320" i="2" s="1"/>
  <c r="L321" i="2"/>
  <c r="M321" i="2" s="1" a="1"/>
  <c r="M321" i="2" s="1"/>
  <c r="L322" i="2"/>
  <c r="M322" i="2" s="1" a="1"/>
  <c r="M322" i="2" s="1"/>
  <c r="L323" i="2"/>
  <c r="M323" i="2" s="1" a="1"/>
  <c r="M323" i="2" s="1"/>
  <c r="L324" i="2"/>
  <c r="M324" i="2" s="1" a="1"/>
  <c r="M324" i="2" s="1"/>
  <c r="L325" i="2"/>
  <c r="M325" i="2" s="1" a="1"/>
  <c r="M325" i="2" s="1"/>
  <c r="L326" i="2"/>
  <c r="M326" i="2" s="1" a="1"/>
  <c r="M326" i="2" s="1"/>
  <c r="L327" i="2"/>
  <c r="M327" i="2" s="1" a="1"/>
  <c r="M327" i="2" s="1"/>
  <c r="L328" i="2"/>
  <c r="M328" i="2" s="1" a="1"/>
  <c r="M328" i="2" s="1"/>
  <c r="L329" i="2"/>
  <c r="M329" i="2" s="1" a="1"/>
  <c r="M329" i="2" s="1"/>
  <c r="L330" i="2"/>
  <c r="M330" i="2" s="1" a="1"/>
  <c r="M330" i="2" s="1"/>
  <c r="L331" i="2"/>
  <c r="M331" i="2" s="1" a="1"/>
  <c r="M331" i="2" s="1"/>
  <c r="L332" i="2"/>
  <c r="M332" i="2" s="1" a="1"/>
  <c r="M332" i="2" s="1"/>
  <c r="L333" i="2"/>
  <c r="M333" i="2" s="1" a="1"/>
  <c r="M333" i="2" s="1"/>
  <c r="L334" i="2"/>
  <c r="M334" i="2" s="1" a="1"/>
  <c r="M334" i="2" s="1"/>
  <c r="L335" i="2"/>
  <c r="M335" i="2" s="1" a="1"/>
  <c r="M335" i="2" s="1"/>
  <c r="L336" i="2"/>
  <c r="M336" i="2" s="1" a="1"/>
  <c r="M336" i="2" s="1"/>
  <c r="L337" i="2"/>
  <c r="M337" i="2" s="1" a="1"/>
  <c r="M337" i="2" s="1"/>
  <c r="L338" i="2"/>
  <c r="M338" i="2" s="1" a="1"/>
  <c r="M338" i="2" s="1"/>
  <c r="L339" i="2"/>
  <c r="M339" i="2" s="1" a="1"/>
  <c r="M339" i="2" s="1"/>
  <c r="L340" i="2"/>
  <c r="M340" i="2" s="1" a="1"/>
  <c r="M340" i="2" s="1"/>
  <c r="L341" i="2"/>
  <c r="M341" i="2" s="1" a="1"/>
  <c r="M341" i="2" s="1"/>
  <c r="L342" i="2"/>
  <c r="M342" i="2" s="1" a="1"/>
  <c r="M342" i="2" s="1"/>
  <c r="L343" i="2"/>
  <c r="M343" i="2" s="1" a="1"/>
  <c r="M343" i="2" s="1"/>
  <c r="L344" i="2"/>
  <c r="M344" i="2" s="1" a="1"/>
  <c r="M344" i="2" s="1"/>
  <c r="L345" i="2"/>
  <c r="M345" i="2" s="1" a="1"/>
  <c r="M345" i="2" s="1"/>
  <c r="L346" i="2"/>
  <c r="M346" i="2" s="1" a="1"/>
  <c r="M346" i="2" s="1"/>
  <c r="L347" i="2"/>
  <c r="M347" i="2" s="1" a="1"/>
  <c r="M347" i="2" s="1"/>
  <c r="L348" i="2"/>
  <c r="M348" i="2" s="1" a="1"/>
  <c r="M348" i="2" s="1"/>
  <c r="L349" i="2"/>
  <c r="M349" i="2" s="1" a="1"/>
  <c r="M349" i="2" s="1"/>
  <c r="L350" i="2"/>
  <c r="M350" i="2" s="1" a="1"/>
  <c r="M350" i="2" s="1"/>
  <c r="L351" i="2"/>
  <c r="M351" i="2" s="1" a="1"/>
  <c r="M351" i="2" s="1"/>
  <c r="L352" i="2"/>
  <c r="M352" i="2" s="1" a="1"/>
  <c r="M352" i="2" s="1"/>
  <c r="L353" i="2"/>
  <c r="M353" i="2" s="1" a="1"/>
  <c r="M353" i="2" s="1"/>
  <c r="L354" i="2"/>
  <c r="M354" i="2" s="1" a="1"/>
  <c r="M354" i="2" s="1"/>
  <c r="L355" i="2"/>
  <c r="M355" i="2" s="1" a="1"/>
  <c r="M355" i="2" s="1"/>
  <c r="L356" i="2"/>
  <c r="M356" i="2" s="1" a="1"/>
  <c r="M356" i="2" s="1"/>
  <c r="L357" i="2"/>
  <c r="M357" i="2" s="1" a="1"/>
  <c r="M357" i="2" s="1"/>
  <c r="L358" i="2"/>
  <c r="M358" i="2" s="1" a="1"/>
  <c r="M358" i="2" s="1"/>
  <c r="L359" i="2"/>
  <c r="M359" i="2" s="1" a="1"/>
  <c r="M359" i="2" s="1"/>
  <c r="L360" i="2"/>
  <c r="M360" i="2" s="1" a="1"/>
  <c r="M360" i="2" s="1"/>
  <c r="L361" i="2"/>
  <c r="M361" i="2" s="1" a="1"/>
  <c r="M361" i="2" s="1"/>
  <c r="L362" i="2"/>
  <c r="M362" i="2" s="1" a="1"/>
  <c r="M362" i="2" s="1"/>
  <c r="L363" i="2"/>
  <c r="M363" i="2" s="1" a="1"/>
  <c r="M363" i="2" s="1"/>
  <c r="L364" i="2"/>
  <c r="M364" i="2" s="1" a="1"/>
  <c r="M364" i="2" s="1"/>
  <c r="L365" i="2"/>
  <c r="M365" i="2" s="1" a="1"/>
  <c r="M365" i="2" s="1"/>
  <c r="L366" i="2"/>
  <c r="M366" i="2" s="1" a="1"/>
  <c r="M366" i="2" s="1"/>
  <c r="L367" i="2"/>
  <c r="M367" i="2" s="1" a="1"/>
  <c r="M367" i="2" s="1"/>
  <c r="L368" i="2"/>
  <c r="M368" i="2" s="1" a="1"/>
  <c r="M368" i="2" s="1"/>
  <c r="L369" i="2"/>
  <c r="M369" i="2" s="1" a="1"/>
  <c r="M369" i="2" s="1"/>
  <c r="L370" i="2"/>
  <c r="M370" i="2" s="1" a="1"/>
  <c r="M370" i="2" s="1"/>
  <c r="L371" i="2"/>
  <c r="M371" i="2" s="1" a="1"/>
  <c r="M371" i="2" s="1"/>
  <c r="L372" i="2"/>
  <c r="M372" i="2" s="1" a="1"/>
  <c r="M372" i="2" s="1"/>
  <c r="L373" i="2"/>
  <c r="M373" i="2" s="1" a="1"/>
  <c r="M373" i="2" s="1"/>
  <c r="L374" i="2"/>
  <c r="M374" i="2" s="1" a="1"/>
  <c r="M374" i="2" s="1"/>
  <c r="L375" i="2"/>
  <c r="M375" i="2" s="1" a="1"/>
  <c r="M375" i="2" s="1"/>
  <c r="L376" i="2"/>
  <c r="M376" i="2" s="1" a="1"/>
  <c r="M376" i="2" s="1"/>
  <c r="L377" i="2"/>
  <c r="M377" i="2" s="1" a="1"/>
  <c r="M377" i="2" s="1"/>
  <c r="L378" i="2"/>
  <c r="M378" i="2" s="1" a="1"/>
  <c r="M378" i="2" s="1"/>
  <c r="L379" i="2"/>
  <c r="M379" i="2" s="1" a="1"/>
  <c r="M379" i="2" s="1"/>
  <c r="L380" i="2"/>
  <c r="M380" i="2" s="1" a="1"/>
  <c r="M380" i="2" s="1"/>
  <c r="L381" i="2"/>
  <c r="M381" i="2" s="1" a="1"/>
  <c r="M381" i="2" s="1"/>
  <c r="L382" i="2"/>
  <c r="M382" i="2" s="1" a="1"/>
  <c r="M382" i="2" s="1"/>
  <c r="L383" i="2"/>
  <c r="M383" i="2" s="1" a="1"/>
  <c r="M383" i="2" s="1"/>
  <c r="L384" i="2"/>
  <c r="M384" i="2" s="1" a="1"/>
  <c r="M384" i="2" s="1"/>
  <c r="L385" i="2"/>
  <c r="M385" i="2" s="1" a="1"/>
  <c r="M385" i="2" s="1"/>
  <c r="L386" i="2"/>
  <c r="M386" i="2" s="1" a="1"/>
  <c r="M386" i="2" s="1"/>
  <c r="L387" i="2"/>
  <c r="M387" i="2" s="1" a="1"/>
  <c r="M387" i="2" s="1"/>
  <c r="L388" i="2"/>
  <c r="M388" i="2" s="1" a="1"/>
  <c r="M388" i="2" s="1"/>
  <c r="L389" i="2"/>
  <c r="M389" i="2" s="1" a="1"/>
  <c r="M389" i="2" s="1"/>
  <c r="L390" i="2"/>
  <c r="M390" i="2" s="1" a="1"/>
  <c r="M390" i="2" s="1"/>
  <c r="L391" i="2"/>
  <c r="M391" i="2" s="1" a="1"/>
  <c r="M391" i="2" s="1"/>
  <c r="L392" i="2"/>
  <c r="M392" i="2" s="1" a="1"/>
  <c r="M392" i="2" s="1"/>
  <c r="L393" i="2"/>
  <c r="M393" i="2" s="1" a="1"/>
  <c r="M393" i="2" s="1"/>
  <c r="L394" i="2"/>
  <c r="M394" i="2" s="1" a="1"/>
  <c r="M394" i="2" s="1"/>
  <c r="L395" i="2"/>
  <c r="M395" i="2" s="1" a="1"/>
  <c r="M395" i="2" s="1"/>
  <c r="L396" i="2"/>
  <c r="M396" i="2" s="1" a="1"/>
  <c r="M396" i="2" s="1"/>
  <c r="L397" i="2"/>
  <c r="M397" i="2" s="1" a="1"/>
  <c r="M397" i="2" s="1"/>
  <c r="L398" i="2"/>
  <c r="M398" i="2" s="1" a="1"/>
  <c r="M398" i="2" s="1"/>
  <c r="L399" i="2"/>
  <c r="M399" i="2" s="1" a="1"/>
  <c r="M399" i="2" s="1"/>
  <c r="L400" i="2"/>
  <c r="M400" i="2" s="1" a="1"/>
  <c r="M400" i="2" s="1"/>
  <c r="L401" i="2"/>
  <c r="M401" i="2" s="1" a="1"/>
  <c r="M401" i="2" s="1"/>
  <c r="L402" i="2"/>
  <c r="M402" i="2" s="1" a="1"/>
  <c r="M402" i="2" s="1"/>
  <c r="L403" i="2"/>
  <c r="M403" i="2" s="1" a="1"/>
  <c r="M403" i="2" s="1"/>
  <c r="L404" i="2"/>
  <c r="M404" i="2" s="1" a="1"/>
  <c r="M404" i="2" s="1"/>
  <c r="L405" i="2"/>
  <c r="M405" i="2" s="1" a="1"/>
  <c r="M405" i="2" s="1"/>
  <c r="L406" i="2"/>
  <c r="M406" i="2" s="1" a="1"/>
  <c r="M406" i="2" s="1"/>
  <c r="L407" i="2"/>
  <c r="M407" i="2" s="1" a="1"/>
  <c r="M407" i="2" s="1"/>
  <c r="L408" i="2"/>
  <c r="M408" i="2" s="1" a="1"/>
  <c r="M408" i="2" s="1"/>
  <c r="L409" i="2"/>
  <c r="M409" i="2" s="1" a="1"/>
  <c r="M409" i="2" s="1"/>
  <c r="L410" i="2"/>
  <c r="M410" i="2" s="1" a="1"/>
  <c r="M410" i="2" s="1"/>
  <c r="L411" i="2"/>
  <c r="M411" i="2" s="1" a="1"/>
  <c r="M411" i="2" s="1"/>
  <c r="L412" i="2"/>
  <c r="M412" i="2" s="1" a="1"/>
  <c r="M412" i="2" s="1"/>
  <c r="L413" i="2"/>
  <c r="M413" i="2" s="1" a="1"/>
  <c r="M413" i="2" s="1"/>
  <c r="L414" i="2"/>
  <c r="M414" i="2" s="1" a="1"/>
  <c r="M414" i="2" s="1"/>
  <c r="L415" i="2"/>
  <c r="M415" i="2" s="1" a="1"/>
  <c r="M415" i="2" s="1"/>
  <c r="L416" i="2"/>
  <c r="M416" i="2" s="1" a="1"/>
  <c r="M416" i="2" s="1"/>
  <c r="L417" i="2"/>
  <c r="M417" i="2" s="1" a="1"/>
  <c r="M417" i="2" s="1"/>
  <c r="L418" i="2"/>
  <c r="M418" i="2" s="1" a="1"/>
  <c r="M418" i="2" s="1"/>
  <c r="L419" i="2"/>
  <c r="M419" i="2" s="1" a="1"/>
  <c r="M419" i="2" s="1"/>
  <c r="L420" i="2"/>
  <c r="M420" i="2" s="1" a="1"/>
  <c r="M420" i="2" s="1"/>
  <c r="L421" i="2"/>
  <c r="M421" i="2" s="1" a="1"/>
  <c r="M421" i="2" s="1"/>
  <c r="L422" i="2"/>
  <c r="M422" i="2" s="1" a="1"/>
  <c r="M422" i="2" s="1"/>
  <c r="L423" i="2"/>
  <c r="M423" i="2" s="1" a="1"/>
  <c r="M423" i="2" s="1"/>
  <c r="L424" i="2"/>
  <c r="M424" i="2" s="1" a="1"/>
  <c r="M424" i="2" s="1"/>
  <c r="L425" i="2"/>
  <c r="M425" i="2" s="1" a="1"/>
  <c r="M425" i="2" s="1"/>
  <c r="L426" i="2"/>
  <c r="M426" i="2" s="1" a="1"/>
  <c r="M426" i="2" s="1"/>
  <c r="L427" i="2"/>
  <c r="M427" i="2" s="1" a="1"/>
  <c r="M427" i="2" s="1"/>
  <c r="L428" i="2"/>
  <c r="M428" i="2" s="1" a="1"/>
  <c r="M428" i="2" s="1"/>
  <c r="L429" i="2"/>
  <c r="M429" i="2" s="1" a="1"/>
  <c r="M429" i="2" s="1"/>
  <c r="L430" i="2"/>
  <c r="M430" i="2" s="1" a="1"/>
  <c r="M430" i="2" s="1"/>
  <c r="L431" i="2"/>
  <c r="M431" i="2" s="1" a="1"/>
  <c r="M431" i="2" s="1"/>
  <c r="L432" i="2"/>
  <c r="M432" i="2" s="1" a="1"/>
  <c r="M432" i="2" s="1"/>
  <c r="L433" i="2"/>
  <c r="M433" i="2" s="1" a="1"/>
  <c r="M433" i="2" s="1"/>
  <c r="L434" i="2"/>
  <c r="M434" i="2" s="1" a="1"/>
  <c r="M434" i="2" s="1"/>
  <c r="L435" i="2"/>
  <c r="M435" i="2" s="1" a="1"/>
  <c r="M435" i="2" s="1"/>
  <c r="L436" i="2"/>
  <c r="M436" i="2" s="1" a="1"/>
  <c r="M436" i="2" s="1"/>
  <c r="L437" i="2"/>
  <c r="M437" i="2" s="1" a="1"/>
  <c r="M437" i="2" s="1"/>
  <c r="L438" i="2"/>
  <c r="M438" i="2" s="1" a="1"/>
  <c r="M438" i="2" s="1"/>
  <c r="L439" i="2"/>
  <c r="M439" i="2" s="1" a="1"/>
  <c r="M439" i="2" s="1"/>
  <c r="L440" i="2"/>
  <c r="M440" i="2" s="1" a="1"/>
  <c r="M440" i="2" s="1"/>
  <c r="L441" i="2"/>
  <c r="M441" i="2" s="1" a="1"/>
  <c r="M441" i="2" s="1"/>
  <c r="L442" i="2"/>
  <c r="M442" i="2" s="1" a="1"/>
  <c r="M442" i="2" s="1"/>
  <c r="L443" i="2"/>
  <c r="M443" i="2" s="1" a="1"/>
  <c r="M443" i="2" s="1"/>
  <c r="L444" i="2"/>
  <c r="M444" i="2" s="1" a="1"/>
  <c r="M444" i="2" s="1"/>
  <c r="L445" i="2"/>
  <c r="M445" i="2" s="1" a="1"/>
  <c r="M445" i="2" s="1"/>
  <c r="L446" i="2"/>
  <c r="M446" i="2" s="1" a="1"/>
  <c r="M446" i="2" s="1"/>
  <c r="L447" i="2"/>
  <c r="M447" i="2" s="1" a="1"/>
  <c r="M447" i="2" s="1"/>
  <c r="L448" i="2"/>
  <c r="M448" i="2" s="1" a="1"/>
  <c r="M448" i="2" s="1"/>
  <c r="L449" i="2"/>
  <c r="M449" i="2" s="1" a="1"/>
  <c r="M449" i="2" s="1"/>
  <c r="L450" i="2"/>
  <c r="M450" i="2" s="1" a="1"/>
  <c r="M450" i="2" s="1"/>
  <c r="L451" i="2"/>
  <c r="M451" i="2" s="1" a="1"/>
  <c r="M451" i="2" s="1"/>
  <c r="L452" i="2"/>
  <c r="M452" i="2" s="1" a="1"/>
  <c r="M452" i="2" s="1"/>
  <c r="L453" i="2"/>
  <c r="M453" i="2" s="1" a="1"/>
  <c r="M453" i="2" s="1"/>
  <c r="L454" i="2"/>
  <c r="M454" i="2" s="1" a="1"/>
  <c r="M454" i="2" s="1"/>
  <c r="L455" i="2"/>
  <c r="M455" i="2" s="1" a="1"/>
  <c r="M455" i="2" s="1"/>
  <c r="L456" i="2"/>
  <c r="M456" i="2" s="1" a="1"/>
  <c r="M456" i="2" s="1"/>
  <c r="L457" i="2"/>
  <c r="M457" i="2" s="1" a="1"/>
  <c r="M457" i="2" s="1"/>
  <c r="L458" i="2"/>
  <c r="M458" i="2" s="1" a="1"/>
  <c r="M458" i="2" s="1"/>
  <c r="L459" i="2"/>
  <c r="M459" i="2" s="1" a="1"/>
  <c r="M459" i="2" s="1"/>
  <c r="L460" i="2"/>
  <c r="M460" i="2" s="1" a="1"/>
  <c r="M460" i="2" s="1"/>
  <c r="L461" i="2"/>
  <c r="M461" i="2" s="1" a="1"/>
  <c r="M461" i="2" s="1"/>
  <c r="L462" i="2"/>
  <c r="M462" i="2" s="1" a="1"/>
  <c r="M462" i="2" s="1"/>
  <c r="L463" i="2"/>
  <c r="M463" i="2" s="1" a="1"/>
  <c r="M463" i="2" s="1"/>
  <c r="L464" i="2"/>
  <c r="M464" i="2" s="1" a="1"/>
  <c r="M464" i="2" s="1"/>
  <c r="L465" i="2"/>
  <c r="M465" i="2" s="1" a="1"/>
  <c r="M465" i="2" s="1"/>
  <c r="L466" i="2"/>
  <c r="M466" i="2" s="1" a="1"/>
  <c r="M466" i="2" s="1"/>
  <c r="L467" i="2"/>
  <c r="M467" i="2" s="1" a="1"/>
  <c r="M467" i="2" s="1"/>
  <c r="L468" i="2"/>
  <c r="M468" i="2" s="1" a="1"/>
  <c r="M468" i="2" s="1"/>
  <c r="L469" i="2"/>
  <c r="M469" i="2" s="1" a="1"/>
  <c r="M469" i="2" s="1"/>
  <c r="L470" i="2"/>
  <c r="M470" i="2" s="1" a="1"/>
  <c r="M470" i="2" s="1"/>
  <c r="L471" i="2"/>
  <c r="M471" i="2" s="1" a="1"/>
  <c r="M471" i="2" s="1"/>
  <c r="L472" i="2"/>
  <c r="M472" i="2" s="1" a="1"/>
  <c r="M472" i="2" s="1"/>
  <c r="L473" i="2"/>
  <c r="M473" i="2" s="1" a="1"/>
  <c r="M473" i="2" s="1"/>
  <c r="L474" i="2"/>
  <c r="M474" i="2" s="1" a="1"/>
  <c r="M474" i="2" s="1"/>
  <c r="L475" i="2"/>
  <c r="M475" i="2" s="1" a="1"/>
  <c r="M475" i="2" s="1"/>
  <c r="L476" i="2"/>
  <c r="M476" i="2" s="1" a="1"/>
  <c r="M476" i="2" s="1"/>
  <c r="L477" i="2"/>
  <c r="M477" i="2" s="1" a="1"/>
  <c r="M477" i="2" s="1"/>
  <c r="L478" i="2"/>
  <c r="M478" i="2" s="1" a="1"/>
  <c r="M478" i="2" s="1"/>
  <c r="L479" i="2"/>
  <c r="M479" i="2" s="1" a="1"/>
  <c r="M479" i="2" s="1"/>
  <c r="L480" i="2"/>
  <c r="M480" i="2" s="1" a="1"/>
  <c r="M480" i="2" s="1"/>
  <c r="L481" i="2"/>
  <c r="M481" i="2" s="1" a="1"/>
  <c r="M481" i="2" s="1"/>
  <c r="L482" i="2"/>
  <c r="M482" i="2" s="1" a="1"/>
  <c r="M482" i="2" s="1"/>
  <c r="L483" i="2"/>
  <c r="M483" i="2" s="1" a="1"/>
  <c r="M483" i="2" s="1"/>
  <c r="L484" i="2"/>
  <c r="M484" i="2" s="1" a="1"/>
  <c r="M484" i="2" s="1"/>
  <c r="L485" i="2"/>
  <c r="M485" i="2" s="1" a="1"/>
  <c r="M485" i="2" s="1"/>
  <c r="L486" i="2"/>
  <c r="M486" i="2" s="1" a="1"/>
  <c r="M486" i="2" s="1"/>
  <c r="L487" i="2"/>
  <c r="M487" i="2" s="1" a="1"/>
  <c r="M487" i="2" s="1"/>
  <c r="L488" i="2"/>
  <c r="M488" i="2" s="1" a="1"/>
  <c r="M488" i="2" s="1"/>
  <c r="L489" i="2"/>
  <c r="M489" i="2" s="1" a="1"/>
  <c r="M489" i="2" s="1"/>
  <c r="L490" i="2"/>
  <c r="M490" i="2" s="1" a="1"/>
  <c r="M490" i="2" s="1"/>
  <c r="L491" i="2"/>
  <c r="M491" i="2" s="1" a="1"/>
  <c r="M491" i="2" s="1"/>
  <c r="L492" i="2"/>
  <c r="M492" i="2" s="1" a="1"/>
  <c r="M492" i="2" s="1"/>
  <c r="L493" i="2"/>
  <c r="M493" i="2" s="1" a="1"/>
  <c r="M493" i="2" s="1"/>
  <c r="L494" i="2"/>
  <c r="M494" i="2" s="1" a="1"/>
  <c r="M494" i="2" s="1"/>
  <c r="L495" i="2"/>
  <c r="M495" i="2" s="1" a="1"/>
  <c r="M495" i="2" s="1"/>
  <c r="L496" i="2"/>
  <c r="M496" i="2" s="1" a="1"/>
  <c r="M496" i="2" s="1"/>
  <c r="L497" i="2"/>
  <c r="M497" i="2" s="1" a="1"/>
  <c r="M497" i="2" s="1"/>
  <c r="L498" i="2"/>
  <c r="M498" i="2" s="1" a="1"/>
  <c r="M498" i="2" s="1"/>
  <c r="L499" i="2"/>
  <c r="M499" i="2" s="1" a="1"/>
  <c r="M499" i="2" s="1"/>
  <c r="L500" i="2"/>
  <c r="M500" i="2" s="1" a="1"/>
  <c r="M500" i="2" s="1"/>
  <c r="L501" i="2"/>
  <c r="M501" i="2" s="1" a="1"/>
  <c r="M501" i="2" s="1"/>
  <c r="I2" i="2" a="1"/>
  <c r="I2" i="2" s="1"/>
  <c r="I3" i="2" a="1"/>
  <c r="I3"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s="1"/>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s="1"/>
  <c r="I118" i="2" a="1"/>
  <c r="I118" i="2" s="1"/>
  <c r="I119" i="2" a="1"/>
  <c r="I119" i="2" s="1"/>
  <c r="I120" i="2" a="1"/>
  <c r="I120" i="2" s="1"/>
  <c r="I121" i="2" a="1"/>
  <c r="I121" i="2" s="1"/>
  <c r="I122" i="2" a="1"/>
  <c r="I122" i="2" s="1"/>
  <c r="I123" i="2" a="1"/>
  <c r="I123" i="2" s="1"/>
  <c r="I124" i="2" a="1"/>
  <c r="I124" i="2" s="1"/>
  <c r="I125" i="2" a="1"/>
  <c r="I125" i="2" s="1"/>
  <c r="I126" i="2" a="1"/>
  <c r="I126" i="2" s="1"/>
  <c r="I127" i="2" a="1"/>
  <c r="I127" i="2" s="1"/>
  <c r="I128" i="2" a="1"/>
  <c r="I128" i="2"/>
  <c r="I129" i="2" a="1"/>
  <c r="I129" i="2" s="1"/>
  <c r="I130" i="2" a="1"/>
  <c r="I130" i="2" s="1"/>
  <c r="I131" i="2" a="1"/>
  <c r="I131" i="2" s="1"/>
  <c r="I132" i="2" a="1"/>
  <c r="I132" i="2" s="1"/>
  <c r="I133" i="2" a="1"/>
  <c r="I133" i="2" s="1"/>
  <c r="I134" i="2" a="1"/>
  <c r="I134" i="2" s="1"/>
  <c r="I135" i="2" a="1"/>
  <c r="I135" i="2" s="1"/>
  <c r="I136" i="2" a="1"/>
  <c r="I136" i="2" s="1"/>
  <c r="I137" i="2" a="1"/>
  <c r="I137" i="2" s="1"/>
  <c r="I138" i="2" a="1"/>
  <c r="I138" i="2" s="1"/>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c r="I161" i="2" a="1"/>
  <c r="I161" i="2" s="1"/>
  <c r="I162" i="2" a="1"/>
  <c r="I162" i="2" s="1"/>
  <c r="I163" i="2" a="1"/>
  <c r="I163" i="2" s="1"/>
  <c r="I164" i="2" a="1"/>
  <c r="I164" i="2" s="1"/>
  <c r="I165" i="2" a="1"/>
  <c r="I165" i="2" s="1"/>
  <c r="I166" i="2" a="1"/>
  <c r="I166" i="2" s="1"/>
  <c r="I167" i="2" a="1"/>
  <c r="I167" i="2" s="1"/>
  <c r="I168" i="2" a="1"/>
  <c r="I168" i="2" s="1"/>
  <c r="I169" i="2" a="1"/>
  <c r="I169" i="2" s="1"/>
  <c r="I170" i="2" a="1"/>
  <c r="I170" i="2" s="1"/>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c r="I318" i="2" a="1"/>
  <c r="I318" i="2" s="1"/>
  <c r="I319" i="2" a="1"/>
  <c r="I319" i="2" s="1"/>
  <c r="I320" i="2" a="1"/>
  <c r="I320" i="2" s="1"/>
  <c r="I321" i="2" a="1"/>
  <c r="I321" i="2" s="1"/>
  <c r="I322" i="2" a="1"/>
  <c r="I322" i="2" s="1"/>
  <c r="I323" i="2" a="1"/>
  <c r="I323" i="2" s="1"/>
  <c r="I324" i="2" a="1"/>
  <c r="I324" i="2" s="1"/>
  <c r="I325" i="2" a="1"/>
  <c r="I325" i="2"/>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c r="I350" i="2" a="1"/>
  <c r="I350" i="2" s="1"/>
  <c r="I351" i="2" a="1"/>
  <c r="I351" i="2" s="1"/>
  <c r="I352" i="2" a="1"/>
  <c r="I352" i="2" s="1"/>
  <c r="I353" i="2" a="1"/>
  <c r="I353" i="2" s="1"/>
  <c r="I354" i="2" a="1"/>
  <c r="I354" i="2" s="1"/>
  <c r="I355" i="2" a="1"/>
  <c r="I355" i="2" s="1"/>
  <c r="I356" i="2" a="1"/>
  <c r="I356" i="2" s="1"/>
  <c r="I357" i="2" a="1"/>
  <c r="I357" i="2"/>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c r="I382" i="2" a="1"/>
  <c r="I382" i="2" s="1"/>
  <c r="I383" i="2" a="1"/>
  <c r="I383" i="2" s="1"/>
  <c r="I384" i="2" a="1"/>
  <c r="I384" i="2" s="1"/>
  <c r="I385" i="2" a="1"/>
  <c r="I385" i="2" s="1"/>
  <c r="I386" i="2" a="1"/>
  <c r="I386" i="2" s="1"/>
  <c r="I387" i="2" a="1"/>
  <c r="I387" i="2" s="1"/>
  <c r="I388" i="2" a="1"/>
  <c r="I388" i="2" s="1"/>
  <c r="I389" i="2" a="1"/>
  <c r="I389" i="2"/>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s="1"/>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s="1"/>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E2" i="2" a="1"/>
  <c r="E2"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c r="E179" i="2" a="1"/>
  <c r="E179" i="2" s="1"/>
  <c r="E180" i="2" a="1"/>
  <c r="E180" i="2" s="1"/>
  <c r="E181" i="2" a="1"/>
  <c r="E181" i="2" s="1"/>
  <c r="E182" i="2" a="1"/>
  <c r="E182" i="2" s="1"/>
  <c r="E183" i="2" a="1"/>
  <c r="E183" i="2" s="1"/>
  <c r="E184" i="2" a="1"/>
  <c r="E184" i="2" s="1"/>
  <c r="E185" i="2" a="1"/>
  <c r="E185" i="2" s="1"/>
  <c r="E186" i="2" a="1"/>
  <c r="E186" i="2" s="1"/>
  <c r="E187" i="2" a="1"/>
  <c r="E187" i="2" s="1"/>
  <c r="E188" i="2" a="1"/>
  <c r="E188" i="2"/>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814124-24BE-48AB-A96E-52493445AF1E}" name="Query - accounts (2)" description="Connection to the 'accounts (2)' query in the workbook." type="100" refreshedVersion="8" minRefreshableVersion="5">
    <extLst>
      <ext xmlns:x15="http://schemas.microsoft.com/office/spreadsheetml/2010/11/main" uri="{DE250136-89BD-433C-8126-D09CA5730AF9}">
        <x15:connection id="e1f55cca-ac65-46df-99b6-05cbfeab646f"/>
      </ext>
    </extLst>
  </connection>
  <connection id="2" xr16:uid="{00C0AF84-D24A-40DA-8257-BE43D8F4D337}" name="Query - branches x" description="Connection to the 'branches x' query in the workbook." type="100" refreshedVersion="8" minRefreshableVersion="5">
    <extLst>
      <ext xmlns:x15="http://schemas.microsoft.com/office/spreadsheetml/2010/11/main" uri="{DE250136-89BD-433C-8126-D09CA5730AF9}">
        <x15:connection id="99e22967-5d17-4ee9-818d-fef4c8eafd37"/>
      </ext>
    </extLst>
  </connection>
  <connection id="3" xr16:uid="{BD41AADE-C2FC-4A37-AE57-EE1FEA3D4F67}" name="Query - complaints (1) (1)" description="Connection to the 'complaints (1) (1)' query in the workbook." type="100" refreshedVersion="8" minRefreshableVersion="5">
    <extLst>
      <ext xmlns:x15="http://schemas.microsoft.com/office/spreadsheetml/2010/11/main" uri="{DE250136-89BD-433C-8126-D09CA5730AF9}">
        <x15:connection id="4395d2a4-df2b-44be-bb58-bf03c891ceaf"/>
      </ext>
    </extLst>
  </connection>
  <connection id="4" xr16:uid="{7C8000D9-C86A-4B08-ABC0-CFB217E85D5A}" keepAlive="1" name="Query - Table2_1" description="Connection to the 'Table2_1' query in the workbook." type="5" refreshedVersion="0" background="1">
    <dbPr connection="Provider=Microsoft.Mashup.OleDb.1;Data Source=$Workbook$;Location=Table2_1;Extended Properties=&quot;&quot;" command="SELECT * FROM [Table2_1]"/>
  </connection>
  <connection id="5" xr16:uid="{882A34B4-CDA1-4527-8B7D-B26E94A94C6B}" name="Query - transactions (3)" description="Connection to the 'transactions (3)' query in the workbook." type="100" refreshedVersion="8" minRefreshableVersion="5">
    <extLst>
      <ext xmlns:x15="http://schemas.microsoft.com/office/spreadsheetml/2010/11/main" uri="{DE250136-89BD-433C-8126-D09CA5730AF9}">
        <x15:connection id="e72f56e3-8e1a-4a00-af12-4a344523a1ab"/>
      </ext>
    </extLst>
  </connection>
  <connection id="6" xr16:uid="{9759E72D-151E-4820-8C57-EB67F9CB67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BCC79D2-FE92-40CD-9381-55D2E375FEBF}" name="WorksheetConnection_customers.xlsx!Table2_1" type="102" refreshedVersion="8" minRefreshableVersion="5">
    <extLst>
      <ext xmlns:x15="http://schemas.microsoft.com/office/spreadsheetml/2010/11/main" uri="{DE250136-89BD-433C-8126-D09CA5730AF9}">
        <x15:connection id="Table2_1">
          <x15:rangePr sourceName="_xlcn.WorksheetConnection_customers.xlsxTable2_1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complaints  1   1].[Complaint_Type].&amp;[Fraud]}"/>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<sst xmlns="http://schemas.openxmlformats.org/spreadsheetml/2006/main" count="3889" uniqueCount="1157">
  <si>
    <t>CustomerID</t>
  </si>
  <si>
    <t>Name</t>
  </si>
  <si>
    <t>Gender</t>
  </si>
  <si>
    <t>Age</t>
  </si>
  <si>
    <t>Region</t>
  </si>
  <si>
    <t>Occupation</t>
  </si>
  <si>
    <t>Income</t>
  </si>
  <si>
    <t>Customer_Segment</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</si>
  <si>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</si>
  <si>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</si>
  <si>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</si>
  <si>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</si>
  <si>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</si>
  <si>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</si>
  <si>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</si>
  <si>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</si>
  <si>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</si>
  <si>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</si>
  <si>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</si>
  <si>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</si>
  <si>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</si>
  <si>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</si>
  <si>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</si>
  <si>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</si>
  <si>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</si>
  <si>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</si>
  <si>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</si>
  <si>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</si>
  <si>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</si>
  <si>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</si>
  <si>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</si>
  <si>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</si>
  <si>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</si>
  <si>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</si>
  <si>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</si>
  <si>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</si>
  <si>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</si>
  <si>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</si>
  <si>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</si>
  <si>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</si>
  <si>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</si>
  <si>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</si>
  <si>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</si>
  <si>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</si>
  <si>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</si>
  <si>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</si>
  <si>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</si>
  <si>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</si>
  <si>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</si>
  <si>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</si>
  <si>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</si>
  <si>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</si>
  <si>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</si>
  <si>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</si>
  <si>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</si>
  <si>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</si>
  <si>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</si>
  <si>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</si>
  <si>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</si>
  <si>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</si>
  <si>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</si>
  <si>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</si>
  <si>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</si>
  <si>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</si>
  <si>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</si>
  <si>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</si>
  <si>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</si>
  <si>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</si>
  <si>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</si>
  <si>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</si>
  <si>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</si>
  <si>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</si>
  <si>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</si>
  <si>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</si>
  <si>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</si>
  <si>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</si>
  <si>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</si>
  <si>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</si>
  <si>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</si>
  <si>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</si>
  <si>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</si>
  <si>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</si>
  <si>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</si>
  <si>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</si>
  <si>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</si>
  <si>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</si>
  <si>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</si>
  <si>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</si>
  <si>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</si>
  <si>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</si>
  <si>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</si>
  <si>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</si>
  <si>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</si>
  <si>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</si>
  <si>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</si>
  <si>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</si>
  <si>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</si>
  <si>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</si>
  <si>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</si>
  <si>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</si>
  <si>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</si>
  <si>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</si>
  <si>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</si>
  <si>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</si>
  <si>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</si>
  <si>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</si>
  <si>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</si>
  <si>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</si>
  <si>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</si>
  <si>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</si>
  <si>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</si>
  <si>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</si>
  <si>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</si>
  <si>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</si>
  <si>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</si>
  <si>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</si>
  <si>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</si>
  <si>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</si>
  <si>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</si>
  <si>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</si>
  <si>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</si>
  <si>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</si>
  <si>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</si>
  <si>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</si>
  <si>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</si>
  <si>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</si>
  <si>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</si>
  <si>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</si>
  <si>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</si>
  <si>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</si>
  <si>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</si>
  <si>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</si>
  <si>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</si>
  <si>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</si>
  <si>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</si>
  <si>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</si>
  <si>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</si>
  <si>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</si>
  <si>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</si>
  <si>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</si>
  <si>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</si>
  <si>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</si>
  <si>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</si>
  <si>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</si>
  <si>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</si>
  <si>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</si>
  <si>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</si>
  <si>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</si>
  <si>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</si>
  <si>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</si>
  <si>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</si>
  <si>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</si>
  <si>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</si>
  <si>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</si>
  <si>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</si>
  <si>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</si>
  <si>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</si>
  <si>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</si>
  <si>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</si>
  <si>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</si>
  <si>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</si>
  <si>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</si>
  <si>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</si>
  <si>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</si>
  <si>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</si>
  <si>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</si>
  <si>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</si>
  <si>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</si>
  <si>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</si>
  <si>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</si>
  <si>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</si>
  <si>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</si>
  <si>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</si>
  <si>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</si>
  <si>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</si>
  <si>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</si>
  <si>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</si>
  <si>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</si>
  <si>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</si>
  <si>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</si>
  <si>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</si>
  <si>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</si>
  <si>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</si>
  <si>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</si>
  <si>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</si>
  <si>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</si>
  <si>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</si>
  <si>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</si>
  <si>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</si>
  <si>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</si>
  <si>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</si>
  <si>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</si>
  <si>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</si>
  <si>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</si>
  <si>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</si>
  <si>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</si>
  <si>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</si>
  <si>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</si>
  <si>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</si>
  <si>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</si>
  <si>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</si>
  <si>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</si>
  <si>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</si>
  <si>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</si>
  <si>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</si>
  <si>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</si>
  <si>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</si>
  <si>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</si>
  <si>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</si>
  <si>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</si>
  <si>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</si>
  <si>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</si>
  <si>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</si>
  <si>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</si>
  <si>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</si>
  <si>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</si>
  <si>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</si>
  <si>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</si>
  <si>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</si>
  <si>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</si>
  <si>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</si>
  <si>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</si>
  <si>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</si>
  <si>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</si>
  <si>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</si>
  <si>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</si>
  <si>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</si>
  <si>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</si>
  <si>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</si>
  <si>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</si>
  <si>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</si>
  <si>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</si>
  <si>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</si>
  <si>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</si>
  <si>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</si>
  <si>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</si>
  <si>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</si>
  <si>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</si>
  <si>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</si>
  <si>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</si>
  <si>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</si>
  <si>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</si>
  <si>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</si>
  <si>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</si>
  <si>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</si>
  <si>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</si>
  <si>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</si>
  <si>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</si>
  <si>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</si>
  <si>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</si>
  <si>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</si>
  <si>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</si>
  <si>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</si>
  <si>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</si>
  <si>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</si>
  <si>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</si>
  <si>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</si>
  <si>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</si>
  <si>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</si>
  <si>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</si>
  <si>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</si>
  <si>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</si>
  <si>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</si>
  <si>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</si>
  <si>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</si>
  <si>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</si>
  <si>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</si>
  <si>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</si>
  <si>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</si>
  <si>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</si>
  <si>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</si>
  <si>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</si>
  <si>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</si>
  <si>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</si>
  <si>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</si>
  <si>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</si>
  <si>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</si>
  <si>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</si>
  <si>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</si>
  <si>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</si>
  <si>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</si>
  <si>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</si>
  <si>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</si>
  <si>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</si>
  <si>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</si>
  <si>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</si>
  <si>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</si>
  <si>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</si>
  <si>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</si>
  <si>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</si>
  <si>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</si>
  <si>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</si>
  <si>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</si>
  <si>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</si>
  <si>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</si>
  <si>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</si>
  <si>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</si>
  <si>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</si>
  <si>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</si>
  <si>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</si>
  <si>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</si>
  <si>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</si>
  <si>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</si>
  <si>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</si>
  <si>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</si>
  <si>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</si>
  <si>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</si>
  <si>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</si>
  <si>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</si>
  <si>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</si>
  <si>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</si>
  <si>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</si>
  <si>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</si>
  <si>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</si>
  <si>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</si>
  <si>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</si>
  <si>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</si>
  <si>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</si>
  <si>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</si>
  <si>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</si>
  <si>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</si>
  <si>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</si>
  <si>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</si>
  <si>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</si>
  <si>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</si>
  <si>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</si>
  <si>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</si>
  <si>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</si>
  <si>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</si>
  <si>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</si>
  <si>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</si>
  <si>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</si>
  <si>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</si>
  <si>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</si>
  <si>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</si>
  <si>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</si>
  <si>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</si>
  <si>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</si>
  <si>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</si>
  <si>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</si>
  <si>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</si>
  <si>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</si>
  <si>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</si>
  <si>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</si>
  <si>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</si>
  <si>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</si>
  <si>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</si>
  <si>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</si>
  <si>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</si>
  <si>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</si>
  <si>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</si>
  <si>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</si>
  <si>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</si>
  <si>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</si>
  <si>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</si>
  <si>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</si>
  <si>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</si>
  <si>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</si>
  <si>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</si>
  <si>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</si>
  <si>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</si>
  <si>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</si>
  <si>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</si>
  <si>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</si>
  <si>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</si>
  <si>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</si>
  <si>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</si>
  <si>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</si>
  <si>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</si>
  <si>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</si>
  <si>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</si>
  <si>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</si>
  <si>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</si>
  <si>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</si>
  <si>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</si>
  <si>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</si>
  <si>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</si>
  <si>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</si>
  <si>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</si>
  <si>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</si>
  <si>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</si>
  <si>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</si>
  <si>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</si>
  <si>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</si>
  <si>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</si>
  <si>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</si>
  <si>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</si>
  <si>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</si>
  <si>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</si>
  <si>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</si>
  <si>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</si>
  <si>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</si>
  <si>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</si>
  <si>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</si>
  <si>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</si>
  <si>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</si>
  <si>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</si>
  <si>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</si>
  <si>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</si>
  <si>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</si>
  <si>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</si>
  <si>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</si>
  <si>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</si>
  <si>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</si>
  <si>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</si>
  <si>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</si>
  <si>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</si>
  <si>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</si>
  <si>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</si>
  <si>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</si>
  <si>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</si>
  <si>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</si>
  <si>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</si>
  <si>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</si>
  <si>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</si>
  <si>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</si>
  <si>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</si>
  <si>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</si>
  <si>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</si>
  <si>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</si>
  <si>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</si>
  <si>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</si>
  <si>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</si>
  <si>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</si>
  <si>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</si>
  <si>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</si>
  <si>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</si>
  <si>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</si>
  <si>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</si>
  <si>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</si>
  <si>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</si>
  <si>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</si>
  <si>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</si>
  <si>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</si>
  <si>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</si>
  <si>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</si>
  <si>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</si>
  <si>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</si>
  <si>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</si>
  <si>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</si>
  <si>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</si>
  <si>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</si>
  <si>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</si>
  <si>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</si>
  <si>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</si>
  <si>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</si>
  <si>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</si>
  <si>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</si>
  <si>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</si>
  <si>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</si>
  <si>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</si>
  <si>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</si>
  <si>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</si>
  <si>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</si>
  <si>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</si>
  <si>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</si>
  <si>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</si>
  <si>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</si>
  <si>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</si>
  <si>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</si>
  <si>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</si>
  <si>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</si>
  <si>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</si>
  <si>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</si>
  <si>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</si>
  <si>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</si>
  <si>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</si>
  <si>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</si>
  <si>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</si>
  <si>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</si>
  <si>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</si>
  <si>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</si>
  <si>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</si>
  <si>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</si>
  <si>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</si>
  <si>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</si>
  <si>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</si>
  <si>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</si>
  <si>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</si>
  <si>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</si>
  <si>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</si>
  <si>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</si>
  <si>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</si>
  <si>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</si>
  <si>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</si>
  <si>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</si>
  <si>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</si>
  <si>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</si>
  <si>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</si>
  <si>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</si>
  <si>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</si>
  <si>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</si>
  <si>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</si>
  <si>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</si>
  <si>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</si>
  <si>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</si>
  <si>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</si>
  <si>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</si>
  <si>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</si>
  <si>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</si>
  <si>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</si>
  <si>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</si>
  <si>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</si>
  <si>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</si>
  <si>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</si>
  <si>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</si>
  <si>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</si>
  <si>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</si>
  <si>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</si>
  <si>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</si>
  <si>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</si>
  <si>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</si>
  <si>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</si>
  <si>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</si>
  <si>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</si>
  <si>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</si>
  <si>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</si>
  <si>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</si>
  <si>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</si>
  <si>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</si>
  <si>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</si>
  <si>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</si>
  <si>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</si>
  <si>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</si>
  <si>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</si>
  <si>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</si>
  <si>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</si>
  <si>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</si>
  <si>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</si>
  <si>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</si>
  <si>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</si>
  <si>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</si>
  <si>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</si>
  <si>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</si>
  <si>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</si>
  <si>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</si>
  <si>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</si>
  <si>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</si>
  <si>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</si>
  <si>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</si>
  <si>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</si>
  <si>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</si>
  <si>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</si>
  <si>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</si>
  <si>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</si>
  <si>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</si>
  <si>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</si>
  <si>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</si>
  <si>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</si>
  <si>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</si>
  <si>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</si>
  <si>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</si>
  <si>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</si>
  <si>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</si>
  <si>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</si>
  <si>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</si>
  <si>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</si>
  <si>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</si>
  <si>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</si>
  <si>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</si>
  <si>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</si>
  <si>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</si>
  <si>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</si>
  <si>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</si>
  <si>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</si>
  <si>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</si>
  <si>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</si>
  <si>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</si>
  <si>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</si>
  <si>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</si>
  <si>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</si>
  <si>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</si>
  <si>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</si>
  <si>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</si>
  <si>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</si>
  <si>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</si>
  <si>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</si>
  <si>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</si>
  <si>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</si>
  <si>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</si>
  <si>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</si>
  <si>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</si>
  <si>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</si>
  <si>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</si>
  <si>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</si>
  <si>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</si>
  <si>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</si>
  <si>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</si>
  <si>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</si>
  <si>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</si>
  <si>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</si>
  <si>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</si>
  <si>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</si>
  <si>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</si>
  <si>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</si>
  <si>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</si>
  <si>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</si>
  <si>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</si>
  <si>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</si>
  <si>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</si>
  <si>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</si>
  <si>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</si>
  <si>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</si>
  <si>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</si>
  <si>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</si>
  <si>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</si>
  <si>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</si>
  <si>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</si>
  <si>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</si>
  <si>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</si>
  <si>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</si>
  <si>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</si>
  <si>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</si>
  <si>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</si>
  <si>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</si>
  <si>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</si>
  <si>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</si>
  <si>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</si>
  <si>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</si>
  <si>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</si>
  <si>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</si>
  <si>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</si>
  <si>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</si>
  <si>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</si>
  <si>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</si>
  <si>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</si>
  <si>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</si>
  <si>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</si>
  <si>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</si>
  <si>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</si>
  <si>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</si>
  <si>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</si>
  <si>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</si>
  <si>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</si>
  <si>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</si>
  <si>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</si>
  <si>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</si>
  <si>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</si>
  <si>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</si>
  <si>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</si>
  <si>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</si>
  <si>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</si>
  <si>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</si>
  <si>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</si>
  <si>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</si>
  <si>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</si>
  <si>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</si>
  <si>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</si>
  <si>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</si>
  <si>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</si>
  <si>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</si>
  <si>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</si>
  <si>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</si>
  <si>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</si>
  <si>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</si>
  <si>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</si>
  <si>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</si>
  <si>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</si>
  <si>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</si>
  <si>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</si>
  <si>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</si>
  <si>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</si>
  <si>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</si>
  <si>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</si>
  <si>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</si>
  <si>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</si>
  <si>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</si>
  <si>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</si>
  <si>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</si>
  <si>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</si>
  <si>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</si>
  <si>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</si>
  <si>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</si>
  <si>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</si>
  <si>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</si>
  <si>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</si>
  <si>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</si>
  <si>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</si>
  <si>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</si>
  <si>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</si>
  <si>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</si>
  <si>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</si>
  <si>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</si>
  <si>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</si>
  <si>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</si>
  <si>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</si>
  <si>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</si>
  <si>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</si>
  <si>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</si>
  <si>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</si>
  <si>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</si>
  <si>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</si>
  <si>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</si>
  <si>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</si>
  <si>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</si>
  <si>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</si>
  <si>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</si>
  <si>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</si>
  <si>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</si>
  <si>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</si>
  <si>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</si>
  <si>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</si>
  <si>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</si>
  <si>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</si>
  <si>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</si>
  <si>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</si>
  <si>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</si>
  <si>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</si>
  <si>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</si>
  <si>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</si>
  <si>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</si>
  <si>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</si>
  <si>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</si>
  <si>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</si>
  <si>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</si>
  <si>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</si>
  <si>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</si>
  <si>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</si>
  <si>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</si>
  <si>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</si>
  <si>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</si>
  <si>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</si>
  <si>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</si>
  <si>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</si>
  <si>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</si>
  <si>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</si>
  <si>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</si>
  <si>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</si>
  <si>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</si>
  <si>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</si>
  <si>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</si>
  <si>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</si>
  <si>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</si>
  <si>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</si>
  <si>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</si>
  <si>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</si>
  <si>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</si>
  <si>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</si>
  <si>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</si>
  <si>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</si>
  <si>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</si>
  <si>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</si>
  <si>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</si>
  <si>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</si>
  <si>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</si>
  <si>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</si>
  <si>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</si>
  <si>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</si>
  <si>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</si>
  <si>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</si>
  <si>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</si>
  <si>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</si>
  <si>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</si>
  <si>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</si>
  <si>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</si>
  <si>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</si>
  <si>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</si>
  <si>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</si>
  <si>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</si>
  <si>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</si>
  <si>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</si>
  <si>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</si>
  <si>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</si>
  <si>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</si>
  <si>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</si>
  <si>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</si>
  <si>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</si>
  <si>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</si>
  <si>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</si>
  <si>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</si>
  <si>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</si>
  <si>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</si>
  <si>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</si>
  <si>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</si>
  <si>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</si>
  <si>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</si>
  <si>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</si>
  <si>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</si>
  <si>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</si>
  <si>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</si>
  <si>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</si>
  <si>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</si>
  <si>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</si>
  <si>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</si>
  <si>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</si>
  <si>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</si>
  <si>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</si>
  <si>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</si>
  <si>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</si>
  <si>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</si>
  <si>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</si>
  <si>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</si>
  <si>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</si>
  <si>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</si>
  <si>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</si>
  <si>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</si>
  <si>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</si>
  <si>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</si>
  <si>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</si>
  <si>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</si>
  <si>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</si>
  <si>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</si>
  <si>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</si>
  <si>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</si>
  <si>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</si>
  <si>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</si>
  <si>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</si>
  <si>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</si>
  <si>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</si>
  <si>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</si>
  <si>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</si>
  <si>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</si>
  <si>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</si>
  <si>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</si>
  <si>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</si>
  <si>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</si>
  <si>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</si>
  <si>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</si>
  <si>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</si>
  <si>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</si>
  <si>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</si>
  <si>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</si>
  <si>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</si>
  <si>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</si>
  <si>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</si>
  <si>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</si>
  <si>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</si>
  <si>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</si>
  <si>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</si>
  <si>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</si>
  <si>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</si>
  <si>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</si>
  <si>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</si>
  <si>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</si>
  <si>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</si>
  <si>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</si>
  <si>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</si>
  <si>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</si>
  <si>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</si>
  <si>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</si>
  <si>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</si>
  <si>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</si>
  <si>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</si>
  <si>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</si>
  <si>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</si>
  <si>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</si>
  <si>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</si>
  <si>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</si>
  <si>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</si>
  <si>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</si>
  <si>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</si>
  <si>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</si>
  <si>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</si>
  <si>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</si>
  <si>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</si>
  <si>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</si>
  <si>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</si>
  <si>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</si>
  <si>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</si>
  <si>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</si>
  <si>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</si>
  <si>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</si>
  <si>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</si>
  <si>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</si>
  <si>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</si>
  <si>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</si>
  <si>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</si>
  <si>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</si>
  <si>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</si>
  <si>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</si>
  <si>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</si>
  <si>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</si>
  <si>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</si>
  <si>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</si>
  <si>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</si>
  <si>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</si>
  <si>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</si>
  <si>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</si>
  <si>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</si>
  <si>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</si>
  <si>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</si>
  <si>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</si>
  <si>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</si>
  <si>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</si>
  <si>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</si>
  <si>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</si>
  <si>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</si>
  <si>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</si>
  <si>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</si>
  <si>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</si>
  <si>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</si>
  <si>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</si>
  <si>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</si>
  <si>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</si>
  <si>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</si>
  <si>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</si>
  <si>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</si>
  <si>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</si>
  <si>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</si>
  <si>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</si>
  <si>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</si>
  <si>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</si>
  <si>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</si>
  <si>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</si>
  <si>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</si>
  <si>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</si>
  <si>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</si>
  <si>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</si>
  <si>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</si>
  <si>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</si>
  <si>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</si>
  <si>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</si>
  <si>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</si>
  <si>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</si>
  <si>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</si>
  <si>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</si>
  <si>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</si>
  <si>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</si>
  <si>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</si>
  <si>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</si>
  <si>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</si>
  <si>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</si>
  <si>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</si>
  <si>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</si>
  <si>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</si>
  <si>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</si>
  <si>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</si>
  <si>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</si>
  <si>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</si>
  <si>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</si>
  <si>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</si>
  <si>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</si>
  <si>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</si>
  <si>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</si>
  <si>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</si>
  <si>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</si>
  <si>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</si>
  <si>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</si>
  <si>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</si>
  <si>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</si>
  <si>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</si>
  <si>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</si>
  <si>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</si>
  <si>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</si>
  <si>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</si>
  <si>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</si>
  <si>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</si>
  <si>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</si>
  <si>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</si>
  <si>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</si>
  <si>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</si>
  <si>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</si>
  <si>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</si>
  <si>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</si>
  <si>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</si>
  <si>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</si>
  <si>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</si>
  <si>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</si>
  <si>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</si>
  <si>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</si>
  <si>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</si>
  <si>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</si>
  <si>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</si>
  <si>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</si>
  <si>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</si>
  <si>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</si>
  <si>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</si>
  <si>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</si>
  <si>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</si>
  <si>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</si>
  <si>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</si>
  <si>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</si>
  <si>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</si>
  <si>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</si>
  <si>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</si>
  <si>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</si>
  <si>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</si>
  <si>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</si>
  <si>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</si>
  <si>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</si>
  <si>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</si>
  <si>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</si>
  <si>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</si>
  <si>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</si>
  <si>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</si>
  <si>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</si>
  <si>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</si>
  <si>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</si>
  <si>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</si>
  <si>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</si>
  <si>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</si>
  <si>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</si>
  <si>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</si>
  <si>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</si>
  <si>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</si>
  <si>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</si>
  <si>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</si>
  <si>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</si>
  <si>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</si>
  <si>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</si>
  <si>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</si>
  <si>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</si>
  <si>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</si>
  <si>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</si>
  <si>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</si>
  <si>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</si>
  <si>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</si>
  <si>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</si>
  <si>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</si>
  <si>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</si>
  <si>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</si>
  <si>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</si>
  <si>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</si>
  <si>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</si>
  <si>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</si>
  <si>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</si>
  <si>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</si>
  <si>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</si>
  <si>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</si>
  <si>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</si>
  <si>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</si>
  <si>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</si>
  <si>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</si>
  <si>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Age group</t>
  </si>
  <si>
    <t>Income Bracket</t>
  </si>
  <si>
    <t>Tenure Category</t>
  </si>
  <si>
    <t>Tenure(years)</t>
  </si>
  <si>
    <t>Grand Total</t>
  </si>
  <si>
    <t>Column Labels</t>
  </si>
  <si>
    <t>Count of Name</t>
  </si>
  <si>
    <t>Count of CustomerID</t>
  </si>
  <si>
    <t>Boomers</t>
  </si>
  <si>
    <t>Gen X</t>
  </si>
  <si>
    <t>Gen Z</t>
  </si>
  <si>
    <t>Millennials</t>
  </si>
  <si>
    <t>High</t>
  </si>
  <si>
    <t>Low</t>
  </si>
  <si>
    <t>Medium</t>
  </si>
  <si>
    <t>Premium</t>
  </si>
  <si>
    <t>Age Group</t>
  </si>
  <si>
    <t>Customer Segment</t>
  </si>
  <si>
    <t>Sum of Income</t>
  </si>
  <si>
    <t>Average of Income</t>
  </si>
  <si>
    <t>Loyal</t>
  </si>
  <si>
    <t>New</t>
  </si>
  <si>
    <t>Average of Tenure(years)</t>
  </si>
  <si>
    <t>Average of Age</t>
  </si>
  <si>
    <t>Join Year</t>
  </si>
  <si>
    <t>Join Date</t>
  </si>
  <si>
    <t>Engaged</t>
  </si>
  <si>
    <t>Row Labels</t>
  </si>
  <si>
    <t>Checking</t>
  </si>
  <si>
    <t>CreditCard</t>
  </si>
  <si>
    <t>Loan</t>
  </si>
  <si>
    <t>Savings</t>
  </si>
  <si>
    <t>Sum of Balance</t>
  </si>
  <si>
    <t>Count of AccountID</t>
  </si>
  <si>
    <t>Approved</t>
  </si>
  <si>
    <t>Default</t>
  </si>
  <si>
    <t>Rejected</t>
  </si>
  <si>
    <t>Sum of Loan_Amount</t>
  </si>
  <si>
    <t>Average of Credit_Score</t>
  </si>
  <si>
    <t>Loan Status</t>
  </si>
  <si>
    <t>Account type</t>
  </si>
  <si>
    <t>Average of Balance</t>
  </si>
  <si>
    <t>Generations</t>
  </si>
  <si>
    <t>Count of TransID</t>
  </si>
  <si>
    <t>Sum of Amount</t>
  </si>
  <si>
    <t>Average of Amount</t>
  </si>
  <si>
    <t>Deposit</t>
  </si>
  <si>
    <t>Payment</t>
  </si>
  <si>
    <t>Transfer</t>
  </si>
  <si>
    <t>Withdrawal</t>
  </si>
  <si>
    <t>ATM</t>
  </si>
  <si>
    <t>Branch</t>
  </si>
  <si>
    <t>Online</t>
  </si>
  <si>
    <t>POS</t>
  </si>
  <si>
    <t>Airbnb</t>
  </si>
  <si>
    <t>Apple</t>
  </si>
  <si>
    <t>LocalStore</t>
  </si>
  <si>
    <t>Shell</t>
  </si>
  <si>
    <t>Uber</t>
  </si>
  <si>
    <t>No</t>
  </si>
  <si>
    <t>Yes</t>
  </si>
  <si>
    <t xml:space="preserve">Credit card </t>
  </si>
  <si>
    <t>depo</t>
  </si>
  <si>
    <t>other</t>
  </si>
  <si>
    <t>paym</t>
  </si>
  <si>
    <t>Trans</t>
  </si>
  <si>
    <t>Withdraw</t>
  </si>
  <si>
    <t>channels</t>
  </si>
  <si>
    <t>2023</t>
  </si>
  <si>
    <t>2024</t>
  </si>
  <si>
    <t>2025</t>
  </si>
  <si>
    <t>2015</t>
  </si>
  <si>
    <t>2016</t>
  </si>
  <si>
    <t>2017</t>
  </si>
  <si>
    <t>2018</t>
  </si>
  <si>
    <t>2019</t>
  </si>
  <si>
    <t>2020</t>
  </si>
  <si>
    <t>2021</t>
  </si>
  <si>
    <t>2022</t>
  </si>
  <si>
    <t>Sum of Revenue</t>
  </si>
  <si>
    <t>Sum of Operating_Cost</t>
  </si>
  <si>
    <t>Sum of Profit</t>
  </si>
  <si>
    <t>Sum of Staff_Count</t>
  </si>
  <si>
    <t>North Daniel</t>
  </si>
  <si>
    <t>Javiertown</t>
  </si>
  <si>
    <t>Robertaport</t>
  </si>
  <si>
    <t>Lisaville</t>
  </si>
  <si>
    <t>Michaeltown</t>
  </si>
  <si>
    <t>New Adrienne</t>
  </si>
  <si>
    <t>Simonland</t>
  </si>
  <si>
    <t>West Linda</t>
  </si>
  <si>
    <t>Caldwellburgh</t>
  </si>
  <si>
    <t>Stevenfurt</t>
  </si>
  <si>
    <t>Petersonport</t>
  </si>
  <si>
    <t>Port Michaelhaven</t>
  </si>
  <si>
    <t>Leahtown</t>
  </si>
  <si>
    <t>Carterstad</t>
  </si>
  <si>
    <t>Brittanyland</t>
  </si>
  <si>
    <t>Lake Lynnton</t>
  </si>
  <si>
    <t>South Andrew</t>
  </si>
  <si>
    <t>West Loganmouth</t>
  </si>
  <si>
    <t>West Robert</t>
  </si>
  <si>
    <t>Hurleyview</t>
  </si>
  <si>
    <t>most profitable branch</t>
  </si>
  <si>
    <t>branch</t>
  </si>
  <si>
    <t>Multi Account Holder</t>
  </si>
  <si>
    <t>RPS</t>
  </si>
  <si>
    <t>Count of ComplaintID</t>
  </si>
  <si>
    <t>Fraud</t>
  </si>
  <si>
    <t>Average of Resolution_Time(days)</t>
  </si>
  <si>
    <t>In Progress</t>
  </si>
  <si>
    <t>Open</t>
  </si>
  <si>
    <t>Resolved</t>
  </si>
  <si>
    <t>Complaint_Type</t>
  </si>
  <si>
    <t>Total Fraud Cases</t>
  </si>
  <si>
    <t>Premium Customers</t>
  </si>
  <si>
    <t>percentage of premium affected</t>
  </si>
  <si>
    <t>Unresolved</t>
  </si>
  <si>
    <t>Charges Dispute</t>
  </si>
  <si>
    <t>Others</t>
  </si>
  <si>
    <t>Service Delay</t>
  </si>
  <si>
    <t>Technical Issue</t>
  </si>
  <si>
    <t>Apr</t>
  </si>
  <si>
    <t>Aug</t>
  </si>
  <si>
    <t>Dec</t>
  </si>
  <si>
    <t>Feb</t>
  </si>
  <si>
    <t>Jan</t>
  </si>
  <si>
    <t>Jul</t>
  </si>
  <si>
    <t>Jun</t>
  </si>
  <si>
    <t>Mar</t>
  </si>
  <si>
    <t>May</t>
  </si>
  <si>
    <t>Nov</t>
  </si>
  <si>
    <t>Oct</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</si>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</sst>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t;=1000000]\$0,,&quot;M&quot;;[&gt;=1000]\$0,&quot;K&quot;;0"/>
    <numFmt numFmtId="165" formatCode="[$$-409]#,##0.00"/>
    <numFmt numFmtId="166" formatCode="[$$-409]#,##0"/>
    <numFmt numFmtId="167" formatCode="[&gt;=1000000]\$0.0,,&quot;M&quot;;[&gt;=1000]\$0.0,&quot;K&quot;;0"/>
    <numFmt numFmtId="168" formatCode="_-* #,##0_-;\-* #,##0_-;_-* &quot;-&quot;??_-;_-@_-"/>
    <numFmt numFmtId="169"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593859"/>
        <bgColor indexed="64"/>
      </patternFill>
    </fill>
    <fill>
      <patternFill patternType="solid">
        <fgColor rgb="FFA6CAEC"/>
        <bgColor indexed="64"/>
      </patternFill>
    </fill>
    <fill>
      <patternFill patternType="solid">
        <fgColor rgb="FFADCFD1"/>
        <bgColor indexed="64"/>
      </patternFill>
    </fill>
    <fill>
      <patternFill patternType="solid">
        <fgColor rgb="FF03071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33" borderId="0" xfId="0" applyFill="1"/>
    <xf numFmtId="1" fontId="0" fillId="0" borderId="0" xfId="0" applyNumberFormat="1"/>
    <xf numFmtId="164" fontId="0" fillId="0" borderId="0" xfId="0" applyNumberFormat="1"/>
    <xf numFmtId="0" fontId="18" fillId="33" borderId="0" xfId="0" applyFont="1" applyFill="1"/>
    <xf numFmtId="166" fontId="0" fillId="0" borderId="0" xfId="0" applyNumberFormat="1"/>
    <xf numFmtId="0" fontId="0" fillId="34" borderId="0" xfId="0" applyFill="1"/>
    <xf numFmtId="167" fontId="0" fillId="0" borderId="0" xfId="0" applyNumberFormat="1"/>
    <xf numFmtId="168" fontId="0" fillId="0" borderId="0" xfId="0" applyNumberFormat="1"/>
    <xf numFmtId="0" fontId="0" fillId="35" borderId="0" xfId="0" applyFill="1"/>
    <xf numFmtId="10" fontId="0" fillId="0" borderId="0" xfId="0" applyNumberFormat="1"/>
    <xf numFmtId="169" fontId="0" fillId="0" borderId="0" xfId="42" applyNumberFormat="1" applyFont="1"/>
    <xf numFmtId="169" fontId="0" fillId="0" borderId="0" xfId="0" applyNumberFormat="1"/>
    <xf numFmtId="0" fontId="0" fillId="36" borderId="0" xfId="0" applyFill="1"/>
    <xf numFmtId="9" fontId="0" fillId="0" borderId="0" xfId="42" applyFont="1"/>
    <xf numFmtId="9" fontId="0" fillId="0" borderId="0" xfId="0" applyNumberFormat="1"/>
    <xf numFmtId="0" fontId="0" fillId="37"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10">
    <dxf>
      <numFmt numFmtId="1" formatCode="0"/>
    </dxf>
    <dxf>
      <numFmt numFmtId="166" formatCode="[$$-409]#,##0"/>
    </dxf>
    <dxf>
      <numFmt numFmtId="167" formatCode="[&gt;=1000000]\$0.0,,&quot;M&quot;;[&gt;=1000]\$0.0,&quot;K&quot;;0"/>
    </dxf>
    <dxf>
      <numFmt numFmtId="167" formatCode="[&gt;=1000000]\$0.0,,&quot;M&quot;;[&gt;=1000]\$0.0,&quot;K&quot;;0"/>
    </dxf>
    <dxf>
      <numFmt numFmtId="0" formatCode="General"/>
    </dxf>
    <dxf>
      <numFmt numFmtId="166" formatCode="[$$-409]#,##0"/>
    </dxf>
    <dxf>
      <numFmt numFmtId="1" formatCode="0"/>
    </dxf>
    <dxf>
      <numFmt numFmtId="166" formatCode="[$$-409]#,##0"/>
    </dxf>
    <dxf>
      <numFmt numFmtId="168" formatCode="_-* #,##0_-;\-* #,##0_-;_-* &quot;-&quot;??_-;_-@_-"/>
    </dxf>
    <dxf>
      <numFmt numFmtId="1" formatCode="0"/>
    </dxf>
    <dxf>
      <numFmt numFmtId="166" formatCode="[$$-409]#,##0"/>
    </dxf>
    <dxf>
      <numFmt numFmtId="1" formatCode="0"/>
    </dxf>
    <dxf>
      <numFmt numFmtId="166" formatCode="[$$-409]#,##0"/>
    </dxf>
    <dxf>
      <numFmt numFmtId="0" formatCode="General"/>
    </dxf>
    <dxf>
      <numFmt numFmtId="166" formatCode="[$$-409]#,##0"/>
    </dxf>
    <dxf>
      <numFmt numFmtId="1" formatCode="0"/>
    </dxf>
    <dxf>
      <numFmt numFmtId="166" formatCode="[$$-409]#,##0"/>
    </dxf>
    <dxf>
      <numFmt numFmtId="0" formatCode="General"/>
    </dxf>
    <dxf>
      <numFmt numFmtId="166" formatCode="[$$-409]#,##0"/>
    </dxf>
    <dxf>
      <numFmt numFmtId="168" formatCode="_-* #,##0_-;\-* #,##0_-;_-* &quot;-&quot;??_-;_-@_-"/>
    </dxf>
    <dxf>
      <numFmt numFmtId="0" formatCode="General"/>
    </dxf>
    <dxf>
      <numFmt numFmtId="166" formatCode="[$$-409]#,##0"/>
    </dxf>
    <dxf>
      <numFmt numFmtId="13" formatCode="0%"/>
    </dxf>
    <dxf>
      <numFmt numFmtId="166" formatCode="[$$-409]#,##0"/>
    </dxf>
    <dxf>
      <numFmt numFmtId="0" formatCode="General"/>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 formatCode="0"/>
    </dxf>
    <dxf>
      <numFmt numFmtId="166" formatCode="[$$-409]#,##0"/>
    </dxf>
    <dxf>
      <numFmt numFmtId="167" formatCode="[&gt;=1000000]\$0.0,,&quot;M&quot;;[&gt;=1000]\$0.0,&quot;K&quot;;0"/>
    </dxf>
    <dxf>
      <numFmt numFmtId="167" formatCode="[&gt;=1000000]\$0.0,,&quot;M&quot;;[&gt;=1000]\$0.0,&quot;K&quot;;0"/>
    </dxf>
    <dxf>
      <numFmt numFmtId="0" formatCode="General"/>
    </dxf>
    <dxf>
      <numFmt numFmtId="166" formatCode="[$$-409]#,##0"/>
    </dxf>
    <dxf>
      <numFmt numFmtId="0" formatCode="General"/>
    </dxf>
    <dxf>
      <numFmt numFmtId="166" formatCode="[$$-409]#,##0"/>
    </dxf>
    <dxf>
      <numFmt numFmtId="1" formatCode="0"/>
    </dxf>
    <dxf>
      <numFmt numFmtId="166" formatCode="[$$-409]#,##0"/>
    </dxf>
    <dxf>
      <numFmt numFmtId="168" formatCode="_-* #,##0_-;\-* #,##0_-;_-* &quot;-&quot;??_-;_-@_-"/>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0" formatCode="General"/>
    </dxf>
    <dxf>
      <numFmt numFmtId="166" formatCode="[$$-409]#,##0"/>
    </dxf>
    <dxf>
      <numFmt numFmtId="1" formatCode="0"/>
    </dxf>
    <dxf>
      <numFmt numFmtId="166" formatCode="[$$-409]#,##0"/>
    </dxf>
    <dxf>
      <numFmt numFmtId="166" formatCode="[$$-409]#,##0"/>
    </dxf>
    <dxf>
      <numFmt numFmtId="167" formatCode="[&gt;=1000000]\$0.0,,&quot;M&quot;;[&gt;=1000]\$0.0,&quot;K&quot;;0"/>
    </dxf>
    <dxf>
      <numFmt numFmtId="168" formatCode="_-* #,##0_-;\-* #,##0_-;_-* &quot;-&quot;??_-;_-@_-"/>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 formatCode="0"/>
    </dxf>
    <dxf>
      <numFmt numFmtId="166" formatCode="[$$-409]#,##0"/>
    </dxf>
    <dxf>
      <numFmt numFmtId="1" formatCode="0"/>
    </dxf>
    <dxf>
      <numFmt numFmtId="14" formatCode="0.00%"/>
    </dxf>
    <dxf>
      <numFmt numFmtId="166" formatCode="[$$-409]#,##0"/>
    </dxf>
    <dxf>
      <numFmt numFmtId="1" formatCode="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0" formatCode="General"/>
    </dxf>
    <dxf>
      <numFmt numFmtId="1" formatCode="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66" formatCode="[$$-409]#,##0"/>
    </dxf>
    <dxf>
      <numFmt numFmtId="1" formatCode="0"/>
    </dxf>
    <dxf>
      <numFmt numFmtId="166" formatCode="[$$-409]#,##0"/>
    </dxf>
    <dxf>
      <numFmt numFmtId="1" formatCode="0"/>
    </dxf>
    <dxf>
      <numFmt numFmtId="164" formatCode="[&gt;=1000000]\$0,,&quot;M&quot;;[&gt;=1000]\$0,&quot;K&quot;;0"/>
    </dxf>
    <dxf>
      <numFmt numFmtId="1" formatCode="0"/>
    </dxf>
    <dxf>
      <numFmt numFmtId="1" formatCode="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 formatCode="0"/>
    </dxf>
    <dxf>
      <numFmt numFmtId="1" formatCode="0"/>
    </dxf>
    <dxf>
      <numFmt numFmtId="1" formatCode="0"/>
    </dxf>
    <dxf>
      <numFmt numFmtId="1" formatCode="0"/>
    </dxf>
    <dxf>
      <numFmt numFmtId="164" formatCode="[&gt;=1000000]\$0,,&quot;M&quot;;[&gt;=1000]\$0,&quot;K&quot;;0"/>
    </dxf>
    <dxf>
      <numFmt numFmtId="1" formatCode="0"/>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theme="4" tint="0.59996337778862885"/>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5CCD80C9-7F4F-45EC-800A-142CDB8FB850}">
      <tableStyleElement type="wholeTable" dxfId="109"/>
      <tableStyleElement type="headerRow" dxfId="108"/>
    </tableStyle>
  </tableStyles>
  <colors>
    <mruColors>
      <color rgb="FF050C21"/>
      <color rgb="FF030713"/>
      <color rgb="FF191F35"/>
      <color rgb="FF288E9A"/>
      <color rgb="FF034B6F"/>
      <color rgb="FFADCFD1"/>
      <color rgb="FFB0BAD9"/>
      <color rgb="FFA6CAEC"/>
      <color rgb="FF59385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4"/>
            <color theme="1"/>
            <name val="Arial Black"/>
            <family val="2"/>
            <scheme val="none"/>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14"/>
            <color rgb="FF000000"/>
            <name val="Arial Black"/>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2.xml"/><Relationship Id="rId21" Type="http://schemas.openxmlformats.org/officeDocument/2006/relationships/pivotCacheDefinition" Target="pivotCache/pivotCacheDefinition12.xml"/><Relationship Id="rId42" Type="http://schemas.openxmlformats.org/officeDocument/2006/relationships/pivotCacheDefinition" Target="pivotCache/pivotCacheDefinition33.xml"/><Relationship Id="rId63" Type="http://schemas.openxmlformats.org/officeDocument/2006/relationships/sheetMetadata" Target="metadata.xml"/><Relationship Id="rId84" Type="http://schemas.openxmlformats.org/officeDocument/2006/relationships/customXml" Target="../customXml/item19.xml"/><Relationship Id="rId16" Type="http://schemas.openxmlformats.org/officeDocument/2006/relationships/pivotCacheDefinition" Target="pivotCache/pivotCacheDefinition7.xml"/><Relationship Id="rId107" Type="http://schemas.openxmlformats.org/officeDocument/2006/relationships/customXml" Target="../customXml/item42.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53" Type="http://schemas.openxmlformats.org/officeDocument/2006/relationships/pivotCacheDefinition" Target="pivotCache/pivotCacheDefinition44.xml"/><Relationship Id="rId58" Type="http://schemas.microsoft.com/office/2007/relationships/slicerCache" Target="slicerCaches/slicerCache3.xml"/><Relationship Id="rId74" Type="http://schemas.openxmlformats.org/officeDocument/2006/relationships/customXml" Target="../customXml/item9.xml"/><Relationship Id="rId79" Type="http://schemas.openxmlformats.org/officeDocument/2006/relationships/customXml" Target="../customXml/item14.xml"/><Relationship Id="rId102" Type="http://schemas.openxmlformats.org/officeDocument/2006/relationships/customXml" Target="../customXml/item37.xml"/><Relationship Id="rId123" Type="http://schemas.openxmlformats.org/officeDocument/2006/relationships/customXml" Target="../customXml/item58.xml"/><Relationship Id="rId128" Type="http://schemas.openxmlformats.org/officeDocument/2006/relationships/customXml" Target="../customXml/item63.xml"/><Relationship Id="rId5" Type="http://schemas.openxmlformats.org/officeDocument/2006/relationships/worksheet" Target="worksheets/sheet5.xml"/><Relationship Id="rId90" Type="http://schemas.openxmlformats.org/officeDocument/2006/relationships/customXml" Target="../customXml/item25.xml"/><Relationship Id="rId95" Type="http://schemas.openxmlformats.org/officeDocument/2006/relationships/customXml" Target="../customXml/item30.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43" Type="http://schemas.openxmlformats.org/officeDocument/2006/relationships/pivotCacheDefinition" Target="pivotCache/pivotCacheDefinition34.xml"/><Relationship Id="rId48" Type="http://schemas.openxmlformats.org/officeDocument/2006/relationships/pivotCacheDefinition" Target="pivotCache/pivotCacheDefinition39.xml"/><Relationship Id="rId64" Type="http://schemas.openxmlformats.org/officeDocument/2006/relationships/powerPivotData" Target="model/item.data"/><Relationship Id="rId69" Type="http://schemas.openxmlformats.org/officeDocument/2006/relationships/customXml" Target="../customXml/item4.xml"/><Relationship Id="rId113" Type="http://schemas.openxmlformats.org/officeDocument/2006/relationships/customXml" Target="../customXml/item48.xml"/><Relationship Id="rId118" Type="http://schemas.openxmlformats.org/officeDocument/2006/relationships/customXml" Target="../customXml/item53.xml"/><Relationship Id="rId80" Type="http://schemas.openxmlformats.org/officeDocument/2006/relationships/customXml" Target="../customXml/item15.xml"/><Relationship Id="rId85" Type="http://schemas.openxmlformats.org/officeDocument/2006/relationships/customXml" Target="../customXml/item20.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59" Type="http://schemas.openxmlformats.org/officeDocument/2006/relationships/theme" Target="theme/theme1.xml"/><Relationship Id="rId103" Type="http://schemas.openxmlformats.org/officeDocument/2006/relationships/customXml" Target="../customXml/item38.xml"/><Relationship Id="rId108" Type="http://schemas.openxmlformats.org/officeDocument/2006/relationships/customXml" Target="../customXml/item43.xml"/><Relationship Id="rId124" Type="http://schemas.openxmlformats.org/officeDocument/2006/relationships/customXml" Target="../customXml/item59.xml"/><Relationship Id="rId129" Type="http://schemas.openxmlformats.org/officeDocument/2006/relationships/customXml" Target="../customXml/item64.xml"/><Relationship Id="rId54" Type="http://schemas.openxmlformats.org/officeDocument/2006/relationships/pivotCacheDefinition" Target="pivotCache/pivotCacheDefinition45.xml"/><Relationship Id="rId70" Type="http://schemas.openxmlformats.org/officeDocument/2006/relationships/customXml" Target="../customXml/item5.xml"/><Relationship Id="rId75" Type="http://schemas.openxmlformats.org/officeDocument/2006/relationships/customXml" Target="../customXml/item10.xml"/><Relationship Id="rId91" Type="http://schemas.openxmlformats.org/officeDocument/2006/relationships/customXml" Target="../customXml/item26.xml"/><Relationship Id="rId96"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49" Type="http://schemas.openxmlformats.org/officeDocument/2006/relationships/pivotCacheDefinition" Target="pivotCache/pivotCacheDefinition40.xml"/><Relationship Id="rId114" Type="http://schemas.openxmlformats.org/officeDocument/2006/relationships/customXml" Target="../customXml/item49.xml"/><Relationship Id="rId119" Type="http://schemas.openxmlformats.org/officeDocument/2006/relationships/customXml" Target="../customXml/item54.xml"/><Relationship Id="rId44" Type="http://schemas.openxmlformats.org/officeDocument/2006/relationships/pivotCacheDefinition" Target="pivotCache/pivotCacheDefinition35.xml"/><Relationship Id="rId60" Type="http://schemas.openxmlformats.org/officeDocument/2006/relationships/connections" Target="connections.xml"/><Relationship Id="rId65" Type="http://schemas.openxmlformats.org/officeDocument/2006/relationships/calcChain" Target="calcChain.xml"/><Relationship Id="rId81" Type="http://schemas.openxmlformats.org/officeDocument/2006/relationships/customXml" Target="../customXml/item16.xml"/><Relationship Id="rId86" Type="http://schemas.openxmlformats.org/officeDocument/2006/relationships/customXml" Target="../customXml/item21.xml"/><Relationship Id="rId130" Type="http://schemas.openxmlformats.org/officeDocument/2006/relationships/customXml" Target="../customXml/item65.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109" Type="http://schemas.openxmlformats.org/officeDocument/2006/relationships/customXml" Target="../customXml/item44.xml"/><Relationship Id="rId34" Type="http://schemas.openxmlformats.org/officeDocument/2006/relationships/pivotCacheDefinition" Target="pivotCache/pivotCacheDefinition25.xml"/><Relationship Id="rId50" Type="http://schemas.openxmlformats.org/officeDocument/2006/relationships/pivotCacheDefinition" Target="pivotCache/pivotCacheDefinition41.xml"/><Relationship Id="rId55" Type="http://schemas.openxmlformats.org/officeDocument/2006/relationships/pivotCacheDefinition" Target="pivotCache/pivotCacheDefinition46.xml"/><Relationship Id="rId76" Type="http://schemas.openxmlformats.org/officeDocument/2006/relationships/customXml" Target="../customXml/item11.xml"/><Relationship Id="rId97" Type="http://schemas.openxmlformats.org/officeDocument/2006/relationships/customXml" Target="../customXml/item32.xml"/><Relationship Id="rId104" Type="http://schemas.openxmlformats.org/officeDocument/2006/relationships/customXml" Target="../customXml/item39.xml"/><Relationship Id="rId120" Type="http://schemas.openxmlformats.org/officeDocument/2006/relationships/customXml" Target="../customXml/item55.xml"/><Relationship Id="rId125" Type="http://schemas.openxmlformats.org/officeDocument/2006/relationships/customXml" Target="../customXml/item60.xml"/><Relationship Id="rId7" Type="http://schemas.openxmlformats.org/officeDocument/2006/relationships/worksheet" Target="worksheets/sheet7.xml"/><Relationship Id="rId71" Type="http://schemas.openxmlformats.org/officeDocument/2006/relationships/customXml" Target="../customXml/item6.xml"/><Relationship Id="rId92" Type="http://schemas.openxmlformats.org/officeDocument/2006/relationships/customXml" Target="../customXml/item27.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31.xml"/><Relationship Id="rId45" Type="http://schemas.openxmlformats.org/officeDocument/2006/relationships/pivotCacheDefinition" Target="pivotCache/pivotCacheDefinition36.xml"/><Relationship Id="rId66" Type="http://schemas.openxmlformats.org/officeDocument/2006/relationships/customXml" Target="../customXml/item1.xml"/><Relationship Id="rId87" Type="http://schemas.openxmlformats.org/officeDocument/2006/relationships/customXml" Target="../customXml/item22.xml"/><Relationship Id="rId110" Type="http://schemas.openxmlformats.org/officeDocument/2006/relationships/customXml" Target="../customXml/item45.xml"/><Relationship Id="rId115" Type="http://schemas.openxmlformats.org/officeDocument/2006/relationships/customXml" Target="../customXml/item50.xml"/><Relationship Id="rId131" Type="http://schemas.openxmlformats.org/officeDocument/2006/relationships/customXml" Target="../customXml/item66.xml"/><Relationship Id="rId61" Type="http://schemas.openxmlformats.org/officeDocument/2006/relationships/styles" Target="styles.xml"/><Relationship Id="rId82" Type="http://schemas.openxmlformats.org/officeDocument/2006/relationships/customXml" Target="../customXml/item17.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56" Type="http://schemas.microsoft.com/office/2007/relationships/slicerCache" Target="slicerCaches/slicerCache1.xml"/><Relationship Id="rId77" Type="http://schemas.openxmlformats.org/officeDocument/2006/relationships/customXml" Target="../customXml/item12.xml"/><Relationship Id="rId100" Type="http://schemas.openxmlformats.org/officeDocument/2006/relationships/customXml" Target="../customXml/item35.xml"/><Relationship Id="rId105" Type="http://schemas.openxmlformats.org/officeDocument/2006/relationships/customXml" Target="../customXml/item40.xml"/><Relationship Id="rId126" Type="http://schemas.openxmlformats.org/officeDocument/2006/relationships/customXml" Target="../customXml/item61.xml"/><Relationship Id="rId8" Type="http://schemas.openxmlformats.org/officeDocument/2006/relationships/worksheet" Target="worksheets/sheet8.xml"/><Relationship Id="rId51" Type="http://schemas.openxmlformats.org/officeDocument/2006/relationships/pivotCacheDefinition" Target="pivotCache/pivotCacheDefinition42.xml"/><Relationship Id="rId72" Type="http://schemas.openxmlformats.org/officeDocument/2006/relationships/customXml" Target="../customXml/item7.xml"/><Relationship Id="rId93" Type="http://schemas.openxmlformats.org/officeDocument/2006/relationships/customXml" Target="../customXml/item28.xml"/><Relationship Id="rId98" Type="http://schemas.openxmlformats.org/officeDocument/2006/relationships/customXml" Target="../customXml/item33.xml"/><Relationship Id="rId121" Type="http://schemas.openxmlformats.org/officeDocument/2006/relationships/customXml" Target="../customXml/item56.xml"/><Relationship Id="rId3" Type="http://schemas.openxmlformats.org/officeDocument/2006/relationships/worksheet" Target="worksheets/sheet3.xml"/><Relationship Id="rId25" Type="http://schemas.openxmlformats.org/officeDocument/2006/relationships/pivotCacheDefinition" Target="pivotCache/pivotCacheDefinition16.xml"/><Relationship Id="rId46" Type="http://schemas.openxmlformats.org/officeDocument/2006/relationships/pivotCacheDefinition" Target="pivotCache/pivotCacheDefinition37.xml"/><Relationship Id="rId67" Type="http://schemas.openxmlformats.org/officeDocument/2006/relationships/customXml" Target="../customXml/item2.xml"/><Relationship Id="rId116" Type="http://schemas.openxmlformats.org/officeDocument/2006/relationships/customXml" Target="../customXml/item51.xml"/><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62" Type="http://schemas.openxmlformats.org/officeDocument/2006/relationships/sharedStrings" Target="sharedStrings.xml"/><Relationship Id="rId83" Type="http://schemas.openxmlformats.org/officeDocument/2006/relationships/customXml" Target="../customXml/item18.xml"/><Relationship Id="rId88" Type="http://schemas.openxmlformats.org/officeDocument/2006/relationships/customXml" Target="../customXml/item23.xml"/><Relationship Id="rId111" Type="http://schemas.openxmlformats.org/officeDocument/2006/relationships/customXml" Target="../customXml/item46.xml"/><Relationship Id="rId132" Type="http://schemas.openxmlformats.org/officeDocument/2006/relationships/customXml" Target="../customXml/item67.xml"/><Relationship Id="rId15" Type="http://schemas.openxmlformats.org/officeDocument/2006/relationships/pivotCacheDefinition" Target="pivotCache/pivotCacheDefinition6.xml"/><Relationship Id="rId36" Type="http://schemas.openxmlformats.org/officeDocument/2006/relationships/pivotCacheDefinition" Target="pivotCache/pivotCacheDefinition27.xml"/><Relationship Id="rId57" Type="http://schemas.microsoft.com/office/2007/relationships/slicerCache" Target="slicerCaches/slicerCache2.xml"/><Relationship Id="rId106" Type="http://schemas.openxmlformats.org/officeDocument/2006/relationships/customXml" Target="../customXml/item41.xml"/><Relationship Id="rId127" Type="http://schemas.openxmlformats.org/officeDocument/2006/relationships/customXml" Target="../customXml/item62.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52" Type="http://schemas.openxmlformats.org/officeDocument/2006/relationships/pivotCacheDefinition" Target="pivotCache/pivotCacheDefinition43.xml"/><Relationship Id="rId73" Type="http://schemas.openxmlformats.org/officeDocument/2006/relationships/customXml" Target="../customXml/item8.xml"/><Relationship Id="rId78" Type="http://schemas.openxmlformats.org/officeDocument/2006/relationships/customXml" Target="../customXml/item13.xml"/><Relationship Id="rId94" Type="http://schemas.openxmlformats.org/officeDocument/2006/relationships/customXml" Target="../customXml/item29.xml"/><Relationship Id="rId99" Type="http://schemas.openxmlformats.org/officeDocument/2006/relationships/customXml" Target="../customXml/item34.xml"/><Relationship Id="rId101" Type="http://schemas.openxmlformats.org/officeDocument/2006/relationships/customXml" Target="../customXml/item36.xml"/><Relationship Id="rId122" Type="http://schemas.openxmlformats.org/officeDocument/2006/relationships/customXml" Target="../customXml/item5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7.xml"/><Relationship Id="rId47" Type="http://schemas.openxmlformats.org/officeDocument/2006/relationships/pivotCacheDefinition" Target="pivotCache/pivotCacheDefinition38.xml"/><Relationship Id="rId68" Type="http://schemas.openxmlformats.org/officeDocument/2006/relationships/customXml" Target="../customXml/item3.xml"/><Relationship Id="rId89" Type="http://schemas.openxmlformats.org/officeDocument/2006/relationships/customXml" Target="../customXml/item24.xml"/><Relationship Id="rId112" Type="http://schemas.openxmlformats.org/officeDocument/2006/relationships/customXml" Target="../customXml/item47.xml"/><Relationship Id="rId133" Type="http://schemas.openxmlformats.org/officeDocument/2006/relationships/customXml" Target="../customXml/item68.xml"/></Relationships>
</file>

<file path=xl/charts/_rels/chart1.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16.xml"/><Relationship Id="rId1" Type="http://schemas.microsoft.com/office/2011/relationships/chartStyle" Target="style16.xml"/><Relationship Id="rId5" Type="http://schemas.openxmlformats.org/officeDocument/2006/relationships/image" Target="../media/image13.png"/><Relationship Id="rId4" Type="http://schemas.openxmlformats.org/officeDocument/2006/relationships/image" Target="../media/image12.png"/></Relationships>
</file>

<file path=xl/charts/_rels/chart1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image" Target="../media/image20.png"/><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3" Type="http://schemas.openxmlformats.org/officeDocument/2006/relationships/image" Target="../media/image27.png"/><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3" Type="http://schemas.openxmlformats.org/officeDocument/2006/relationships/image" Target="../media/image28.png"/><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[MetroBank.xlsx]Sheet!PivotTable13</c:name>
    <c:fmtId val="2"/>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Sheet!$B$31</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Sheet!$A$32:$A$36</c:f>
              <c:strCache>
                <c:ptCount val="4"/>
                <c:pt idx="0">
                  <c:v>Boomers</c:v>
                </c:pt>
                <c:pt idx="1">
                  <c:v>Gen X</c:v>
                </c:pt>
                <c:pt idx="2">
                  <c:v>Gen Z</c:v>
                </c:pt>
                <c:pt idx="3">
                  <c:v>Millennials</c:v>
                </c:pt>
              </c:strCache>
            </c:strRef>
          </c:cat>
          <c:val>
            <c:numRef>
              <c:f>Sheet!$B$32:$B$36</c:f>
              <c:numCache>
                <c:formatCode>[&gt;=1000000]\$0,,"M";[&gt;=1000]\$0,"K";0</c:formatCode>
                <c:ptCount val="4"/>
                <c:pt idx="0">
                  <c:v>119081.06206896552</c:v>
                </c:pt>
                <c:pt idx="1">
                  <c:v>112433.73202614379</c:v>
                </c:pt>
                <c:pt idx="2">
                  <c:v>109671.45161290323</c:v>
                </c:pt>
                <c:pt idx="3">
                  <c:v>113790.47142857143</c:v>
                </c:pt>
              </c:numCache>
            </c:numRef>
          </c:val>
          <c:extLst>
            <c:ext xmlns:c16="http://schemas.microsoft.com/office/drawing/2014/chart" uri="{C3380CC4-5D6E-409C-BE32-E72D297353CC}">
              <c16:uniqueId val="{00000000-62A4-4D20-8C74-2B4268E6667D}"/>
            </c:ext>
          </c:extLst>
        </c:ser>
        <c:dLbls>
          <c:showLegendKey val="0"/>
          <c:showVal val="0"/>
          <c:showCatName val="0"/>
          <c:showSerName val="0"/>
          <c:showPercent val="0"/>
          <c:showBubbleSize val="0"/>
        </c:dLbls>
        <c:gapWidth val="202"/>
        <c:axId val="1477654591"/>
        <c:axId val="1477670911"/>
      </c:barChart>
      <c:catAx>
        <c:axId val="147765459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crossAx val="1477670911"/>
        <c:crosses val="autoZero"/>
        <c:auto val="1"/>
        <c:lblAlgn val="ctr"/>
        <c:lblOffset val="100"/>
        <c:noMultiLvlLbl val="0"/>
      </c:catAx>
      <c:valAx>
        <c:axId val="1477670911"/>
        <c:scaling>
          <c:orientation val="minMax"/>
        </c:scaling>
        <c:delete val="1"/>
        <c:axPos val="b"/>
        <c:numFmt formatCode="[&gt;=1000000]\$0,,&quot;M&quot;;[&gt;=1000]\$0,&quot;K&quot;;0" sourceLinked="1"/>
        <c:majorTickMark val="out"/>
        <c:minorTickMark val="none"/>
        <c:tickLblPos val="nextTo"/>
        <c:crossAx val="147765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[MetroBank.xlsx]Sheet!PivotTable16</c:name>
    <c:fmtId val="2"/>
  </c:pivotSource>
  <c:chart>
    <c:autoTitleDeleted val="1"/>
    <c:pivotFmts>
      <c:pivotFmt>
        <c:idx val="0"/>
        <c:spPr>
          <a:solidFill>
            <a:schemeClr val="accent1"/>
          </a:solidFill>
          <a:ln w="25400" cap="sq">
            <a:solidFill>
              <a:schemeClr val="bg2">
                <a:lumMod val="50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sq">
            <a:solidFill>
              <a:schemeClr val="bg2">
                <a:lumMod val="50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sq">
            <a:solidFill>
              <a:schemeClr val="tx2">
                <a:lumMod val="75000"/>
                <a:lumOff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Sheet!$F$28</c:f>
              <c:strCache>
                <c:ptCount val="1"/>
                <c:pt idx="0">
                  <c:v>Total</c:v>
                </c:pt>
              </c:strCache>
            </c:strRef>
          </c:tx>
          <c:spPr>
            <a:ln w="25400" cap="sq">
              <a:solidFill>
                <a:schemeClr val="tx2">
                  <a:lumMod val="75000"/>
                  <a:lumOff val="25000"/>
                </a:schemeClr>
              </a:solidFill>
              <a:prstDash val="solid"/>
              <a:round/>
            </a:ln>
            <a:effectLst/>
          </c:spPr>
          <c:marker>
            <c:symbol val="none"/>
          </c:marker>
          <c:cat>
            <c:strRef>
              <c:f>Sheet!$E$29:$E$40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Sheet!$F$29:$F$40</c:f>
              <c:numCache>
                <c:formatCode>[&gt;=1000000]\$0,,"M";[&gt;=1000]\$0,"K";0</c:formatCode>
                <c:ptCount val="11"/>
                <c:pt idx="0">
                  <c:v>1924493</c:v>
                </c:pt>
                <c:pt idx="1">
                  <c:v>4278907</c:v>
                </c:pt>
                <c:pt idx="2">
                  <c:v>7477928</c:v>
                </c:pt>
                <c:pt idx="3">
                  <c:v>5244142</c:v>
                </c:pt>
                <c:pt idx="4">
                  <c:v>6721175</c:v>
                </c:pt>
                <c:pt idx="5">
                  <c:v>5432458</c:v>
                </c:pt>
                <c:pt idx="6">
                  <c:v>5523777</c:v>
                </c:pt>
                <c:pt idx="7">
                  <c:v>5709427</c:v>
                </c:pt>
                <c:pt idx="8">
                  <c:v>6097261</c:v>
                </c:pt>
                <c:pt idx="9">
                  <c:v>6275575</c:v>
                </c:pt>
                <c:pt idx="10">
                  <c:v>2514268</c:v>
                </c:pt>
              </c:numCache>
            </c:numRef>
          </c:val>
          <c:smooth val="1"/>
          <c:extLst>
            <c:ext xmlns:c16="http://schemas.microsoft.com/office/drawing/2014/chart" uri="{C3380CC4-5D6E-409C-BE32-E72D297353CC}">
              <c16:uniqueId val="{00000000-3340-4ECD-855B-82152CBE3A38}"/>
            </c:ext>
          </c:extLst>
        </c:ser>
        <c:dLbls>
          <c:showLegendKey val="0"/>
          <c:showVal val="0"/>
          <c:showCatName val="0"/>
          <c:showSerName val="0"/>
          <c:showPercent val="0"/>
          <c:showBubbleSize val="0"/>
        </c:dLbls>
        <c:smooth val="0"/>
        <c:axId val="540387055"/>
        <c:axId val="540383215"/>
      </c:lineChart>
      <c:catAx>
        <c:axId val="54038705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NG"/>
          </a:p>
        </c:txPr>
        <c:crossAx val="540383215"/>
        <c:crosses val="autoZero"/>
        <c:auto val="1"/>
        <c:lblAlgn val="ctr"/>
        <c:lblOffset val="100"/>
        <c:noMultiLvlLbl val="0"/>
      </c:catAx>
      <c:valAx>
        <c:axId val="540383215"/>
        <c:scaling>
          <c:orientation val="minMax"/>
        </c:scaling>
        <c:delete val="1"/>
        <c:axPos val="l"/>
        <c:numFmt formatCode="[&gt;=1000000]\$0,,&quot;M&quot;;[&gt;=1000]\$0,&quot;K&quot;;0" sourceLinked="1"/>
        <c:majorTickMark val="out"/>
        <c:minorTickMark val="none"/>
        <c:tickLblPos val="nextTo"/>
        <c:crossAx val="54038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[MetroBank.xlsx]Sheet!PivotTable11</c:name>
    <c:fmtId val="12"/>
  </c:pivotSource>
  <c:chart>
    <c:autoTitleDeleted val="1"/>
    <c:pivotFmts>
      <c:pivotFmt>
        <c:idx val="0"/>
        <c:spPr>
          <a:solidFill>
            <a:schemeClr val="accent1"/>
          </a:solidFill>
          <a:ln w="50800"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noFill/>
            <a:round/>
          </a:ln>
          <a:effectLst/>
        </c:spPr>
        <c:marker>
          <c:symbol val="circle"/>
          <c:size val="12"/>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Sheet!$I$24</c:f>
              <c:strCache>
                <c:ptCount val="1"/>
                <c:pt idx="0">
                  <c:v>Total</c:v>
                </c:pt>
              </c:strCache>
            </c:strRef>
          </c:tx>
          <c:spPr>
            <a:ln w="50800" cap="rnd">
              <a:noFill/>
              <a:round/>
            </a:ln>
            <a:effectLst/>
          </c:spPr>
          <c:marker>
            <c:symbol val="circle"/>
            <c:size val="12"/>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Sheet!$H$25:$H$29</c:f>
              <c:strCache>
                <c:ptCount val="4"/>
                <c:pt idx="0">
                  <c:v>East</c:v>
                </c:pt>
                <c:pt idx="1">
                  <c:v>North</c:v>
                </c:pt>
                <c:pt idx="2">
                  <c:v>South</c:v>
                </c:pt>
                <c:pt idx="3">
                  <c:v>West</c:v>
                </c:pt>
              </c:strCache>
            </c:strRef>
          </c:cat>
          <c:val>
            <c:numRef>
              <c:f>Sheet!$I$25:$I$29</c:f>
              <c:numCache>
                <c:formatCode>0</c:formatCode>
                <c:ptCount val="4"/>
                <c:pt idx="0">
                  <c:v>133</c:v>
                </c:pt>
                <c:pt idx="1">
                  <c:v>120</c:v>
                </c:pt>
                <c:pt idx="2">
                  <c:v>137</c:v>
                </c:pt>
                <c:pt idx="3">
                  <c:v>110</c:v>
                </c:pt>
              </c:numCache>
            </c:numRef>
          </c:val>
          <c:smooth val="0"/>
          <c:extLst>
            <c:ext xmlns:c16="http://schemas.microsoft.com/office/drawing/2014/chart" uri="{C3380CC4-5D6E-409C-BE32-E72D297353CC}">
              <c16:uniqueId val="{00000000-DF6D-48ED-A5B7-BEBBF0E2E1C1}"/>
            </c:ext>
          </c:extLst>
        </c:ser>
        <c:dLbls>
          <c:showLegendKey val="0"/>
          <c:showVal val="0"/>
          <c:showCatName val="0"/>
          <c:showSerName val="0"/>
          <c:showPercent val="0"/>
          <c:showBubbleSize val="0"/>
        </c:dLbls>
        <c:dropLines>
          <c:spPr>
            <a:ln w="60325" cap="flat" cmpd="sng" algn="ctr">
              <a:solidFill>
                <a:schemeClr val="accent1">
                  <a:lumMod val="50000"/>
                </a:schemeClr>
              </a:solidFill>
              <a:round/>
            </a:ln>
            <a:effectLst/>
          </c:spPr>
        </c:dropLines>
        <c:marker val="1"/>
        <c:smooth val="0"/>
        <c:axId val="1439017247"/>
        <c:axId val="1438998047"/>
      </c:lineChart>
      <c:catAx>
        <c:axId val="1439017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1438998047"/>
        <c:crosses val="autoZero"/>
        <c:auto val="1"/>
        <c:lblAlgn val="ctr"/>
        <c:lblOffset val="100"/>
        <c:noMultiLvlLbl val="0"/>
      </c:catAx>
      <c:valAx>
        <c:axId val="1438998047"/>
        <c:scaling>
          <c:orientation val="minMax"/>
        </c:scaling>
        <c:delete val="1"/>
        <c:axPos val="l"/>
        <c:numFmt formatCode="0" sourceLinked="1"/>
        <c:majorTickMark val="none"/>
        <c:minorTickMark val="none"/>
        <c:tickLblPos val="nextTo"/>
        <c:crossAx val="143901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[MetroBank.xlsx]Sheet!PivotTable12</c:name>
    <c:fmtId val="11"/>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19050">
            <a:noFill/>
          </a:ln>
          <a:effectLst/>
        </c:spPr>
      </c:pivotFmt>
      <c:pivotFmt>
        <c:idx val="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pivotFmt>
      <c:pivotFmt>
        <c:idx val="4"/>
        <c:spPr>
          <a:solidFill>
            <a:schemeClr val="tx2">
              <a:lumMod val="25000"/>
              <a:lumOff val="75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tx2">
              <a:lumMod val="25000"/>
              <a:lumOff val="75000"/>
            </a:schemeClr>
          </a:solidFill>
          <a:ln w="19050">
            <a:noFill/>
          </a:ln>
          <a:effectLst/>
        </c:spPr>
      </c:pivotFmt>
    </c:pivotFmts>
    <c:plotArea>
      <c:layout>
        <c:manualLayout>
          <c:layoutTarget val="inner"/>
          <c:xMode val="edge"/>
          <c:yMode val="edge"/>
          <c:x val="0.1269559701213796"/>
          <c:y val="6.8217054263565891E-2"/>
          <c:w val="0.59586863595978545"/>
          <c:h val="0.93178294573643405"/>
        </c:manualLayout>
      </c:layout>
      <c:doughnutChart>
        <c:varyColors val="1"/>
        <c:ser>
          <c:idx val="0"/>
          <c:order val="0"/>
          <c:tx>
            <c:strRef>
              <c:f>Sheet!$L$21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B235-4E26-9551-6E7EFB2177E8}"/>
              </c:ext>
            </c:extLst>
          </c:dPt>
          <c:dPt>
            <c:idx val="1"/>
            <c:bubble3D val="0"/>
            <c:spPr>
              <a:solidFill>
                <a:schemeClr val="tx2">
                  <a:lumMod val="25000"/>
                  <a:lumOff val="75000"/>
                </a:schemeClr>
              </a:solidFill>
              <a:ln w="19050">
                <a:noFill/>
              </a:ln>
              <a:effectLst/>
            </c:spPr>
            <c:extLst>
              <c:ext xmlns:c16="http://schemas.microsoft.com/office/drawing/2014/chart" uri="{C3380CC4-5D6E-409C-BE32-E72D297353CC}">
                <c16:uniqueId val="{00000003-B235-4E26-9551-6E7EFB2177E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Sheet!$K$22:$K$24</c:f>
              <c:strCache>
                <c:ptCount val="2"/>
                <c:pt idx="0">
                  <c:v>Female</c:v>
                </c:pt>
                <c:pt idx="1">
                  <c:v>Male</c:v>
                </c:pt>
              </c:strCache>
            </c:strRef>
          </c:cat>
          <c:val>
            <c:numRef>
              <c:f>Sheet!$L$22:$L$24</c:f>
              <c:numCache>
                <c:formatCode>0</c:formatCode>
                <c:ptCount val="2"/>
                <c:pt idx="0">
                  <c:v>256</c:v>
                </c:pt>
                <c:pt idx="1">
                  <c:v>244</c:v>
                </c:pt>
              </c:numCache>
            </c:numRef>
          </c:val>
          <c:extLst>
            <c:ext xmlns:c16="http://schemas.microsoft.com/office/drawing/2014/chart" uri="{C3380CC4-5D6E-409C-BE32-E72D297353CC}">
              <c16:uniqueId val="{00000004-B235-4E26-9551-6E7EFB2177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[MetroBank.xlsx]Sheet!PivotTable14</c:name>
    <c:fmtId val="1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dLbl>
          <c:idx val="0"/>
          <c:layout>
            <c:manualLayout>
              <c:x val="0.1256544502617801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noFill/>
          </a:ln>
          <a:effectLst/>
        </c:spPr>
      </c:pivotFmt>
      <c:pivotFmt>
        <c:idx val="6"/>
        <c:spPr>
          <a:solidFill>
            <a:schemeClr val="tx2">
              <a:lumMod val="90000"/>
              <a:lumOff val="10000"/>
            </a:schemeClr>
          </a:solidFill>
          <a:ln w="19050">
            <a:noFill/>
          </a:ln>
          <a:effectLst/>
        </c:spPr>
      </c:pivotFmt>
      <c:pivotFmt>
        <c:idx val="7"/>
        <c:spPr>
          <a:solidFill>
            <a:schemeClr val="accent1">
              <a:lumMod val="20000"/>
              <a:lumOff val="80000"/>
            </a:schemeClr>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w="19050">
            <a:noFill/>
          </a:ln>
          <a:effectLst/>
        </c:spPr>
        <c:dLbl>
          <c:idx val="0"/>
          <c:layout>
            <c:manualLayout>
              <c:x val="0.13608248527335703"/>
              <c:y val="-7.390175766221572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w="19050">
            <a:noFill/>
          </a:ln>
          <a:effectLst/>
        </c:spPr>
        <c:dLbl>
          <c:idx val="0"/>
          <c:layout>
            <c:manualLayout>
              <c:x val="-0.26082476344060096"/>
              <c:y val="0.1364340141456289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noFill/>
          </a:ln>
          <a:effectLst/>
        </c:spPr>
        <c:dLbl>
          <c:idx val="0"/>
          <c:layout>
            <c:manualLayout>
              <c:x val="-0.15120276141484115"/>
              <c:y val="-0.1307492635562277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6395284934983"/>
          <c:y val="0.11757599042727764"/>
          <c:w val="0.49101585158501188"/>
          <c:h val="0.77506046599901401"/>
        </c:manualLayout>
      </c:layout>
      <c:doughnutChart>
        <c:varyColors val="1"/>
        <c:ser>
          <c:idx val="0"/>
          <c:order val="0"/>
          <c:tx>
            <c:strRef>
              <c:f>Sheet!$L$30</c:f>
              <c:strCache>
                <c:ptCount val="1"/>
                <c:pt idx="0">
                  <c:v>Total</c:v>
                </c:pt>
              </c:strCache>
            </c:strRef>
          </c:tx>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5AA5-4DCE-87E1-63070C187758}"/>
              </c:ext>
            </c:extLst>
          </c:dPt>
          <c:dPt>
            <c:idx val="1"/>
            <c:bubble3D val="0"/>
            <c:spPr>
              <a:solidFill>
                <a:schemeClr val="tx2">
                  <a:lumMod val="90000"/>
                  <a:lumOff val="10000"/>
                </a:schemeClr>
              </a:solidFill>
              <a:ln w="19050">
                <a:noFill/>
              </a:ln>
              <a:effectLst/>
            </c:spPr>
            <c:extLst>
              <c:ext xmlns:c16="http://schemas.microsoft.com/office/drawing/2014/chart" uri="{C3380CC4-5D6E-409C-BE32-E72D297353CC}">
                <c16:uniqueId val="{00000003-5AA5-4DCE-87E1-63070C187758}"/>
              </c:ext>
            </c:extLst>
          </c:dPt>
          <c:dPt>
            <c:idx val="2"/>
            <c:bubble3D val="0"/>
            <c:spPr>
              <a:solidFill>
                <a:schemeClr val="accent1">
                  <a:lumMod val="40000"/>
                  <a:lumOff val="60000"/>
                </a:schemeClr>
              </a:solidFill>
              <a:ln w="19050">
                <a:noFill/>
              </a:ln>
              <a:effectLst/>
            </c:spPr>
            <c:extLst>
              <c:ext xmlns:c16="http://schemas.microsoft.com/office/drawing/2014/chart" uri="{C3380CC4-5D6E-409C-BE32-E72D297353CC}">
                <c16:uniqueId val="{00000005-5AA5-4DCE-87E1-63070C187758}"/>
              </c:ext>
            </c:extLst>
          </c:dPt>
          <c:dLbls>
            <c:dLbl>
              <c:idx val="0"/>
              <c:layout>
                <c:manualLayout>
                  <c:x val="0.13608248527335703"/>
                  <c:y val="-7.39017576622157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A5-4DCE-87E1-63070C187758}"/>
                </c:ext>
              </c:extLst>
            </c:dLbl>
            <c:dLbl>
              <c:idx val="1"/>
              <c:layout>
                <c:manualLayout>
                  <c:x val="-0.26082476344060096"/>
                  <c:y val="0.13643401414562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A5-4DCE-87E1-63070C187758}"/>
                </c:ext>
              </c:extLst>
            </c:dLbl>
            <c:dLbl>
              <c:idx val="2"/>
              <c:layout>
                <c:manualLayout>
                  <c:x val="-0.15120276141484115"/>
                  <c:y val="-0.13074926355622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A5-4DCE-87E1-63070C18775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3175" cap="flat" cmpd="sng" algn="ctr">
                  <a:solidFill>
                    <a:schemeClr val="tx1"/>
                  </a:solidFill>
                  <a:round/>
                </a:ln>
                <a:effectLst/>
              </c:spPr>
            </c:leaderLines>
            <c:extLst>
              <c:ext xmlns:c15="http://schemas.microsoft.com/office/drawing/2012/chart" uri="{CE6537A1-D6FC-4f65-9D91-7224C49458BB}"/>
            </c:extLst>
          </c:dLbls>
          <c:cat>
            <c:strRef>
              <c:f>Sheet!$K$31:$K$34</c:f>
              <c:strCache>
                <c:ptCount val="3"/>
                <c:pt idx="0">
                  <c:v>Loyal</c:v>
                </c:pt>
                <c:pt idx="1">
                  <c:v>New</c:v>
                </c:pt>
                <c:pt idx="2">
                  <c:v>Engaged</c:v>
                </c:pt>
              </c:strCache>
            </c:strRef>
          </c:cat>
          <c:val>
            <c:numRef>
              <c:f>Sheet!$L$31:$L$34</c:f>
              <c:numCache>
                <c:formatCode>0</c:formatCode>
                <c:ptCount val="3"/>
                <c:pt idx="0">
                  <c:v>164</c:v>
                </c:pt>
                <c:pt idx="1">
                  <c:v>137</c:v>
                </c:pt>
                <c:pt idx="2">
                  <c:v>199</c:v>
                </c:pt>
              </c:numCache>
            </c:numRef>
          </c:val>
          <c:extLst>
            <c:ext xmlns:c16="http://schemas.microsoft.com/office/drawing/2014/chart" uri="{C3380CC4-5D6E-409C-BE32-E72D297353CC}">
              <c16:uniqueId val="{00000006-5AA5-4DCE-87E1-63070C187758}"/>
            </c:ext>
          </c:extLst>
        </c:ser>
        <c:dLbls>
          <c:showLegendKey val="0"/>
          <c:showVal val="0"/>
          <c:showCatName val="0"/>
          <c:showSerName val="0"/>
          <c:showPercent val="0"/>
          <c:showBubbleSize val="0"/>
          <c:showLeaderLines val="1"/>
        </c:dLbls>
        <c:firstSliceAng val="0"/>
        <c:holeSize val="7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[MetroBank.xlsx]Sheet!PivotTable15</c:name>
    <c:fmtId val="27"/>
  </c:pivotSource>
  <c:chart>
    <c:autoTitleDeleted val="1"/>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alpha val="82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32358333463406E-2"/>
          <c:y val="5.7960722710882328E-3"/>
          <c:w val="0.92757138106038139"/>
          <c:h val="0.84412490490105818"/>
        </c:manualLayout>
      </c:layout>
      <c:barChart>
        <c:barDir val="col"/>
        <c:grouping val="clustered"/>
        <c:varyColors val="0"/>
        <c:ser>
          <c:idx val="0"/>
          <c:order val="0"/>
          <c:tx>
            <c:strRef>
              <c:f>Sheet!$I$38</c:f>
              <c:strCache>
                <c:ptCount val="1"/>
                <c:pt idx="0">
                  <c:v>Total</c:v>
                </c:pt>
              </c:strCache>
            </c:strRef>
          </c:tx>
          <c:spPr>
            <a:solidFill>
              <a:schemeClr val="tx2">
                <a:lumMod val="90000"/>
                <a:lumOff val="10000"/>
                <a:alpha val="82000"/>
              </a:schemeClr>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Sheet!$H$39:$H$42</c:f>
              <c:strCache>
                <c:ptCount val="3"/>
                <c:pt idx="0">
                  <c:v>Corporate</c:v>
                </c:pt>
                <c:pt idx="1">
                  <c:v>Private</c:v>
                </c:pt>
                <c:pt idx="2">
                  <c:v>Retail</c:v>
                </c:pt>
              </c:strCache>
            </c:strRef>
          </c:cat>
          <c:val>
            <c:numRef>
              <c:f>Sheet!$I$39:$I$42</c:f>
              <c:numCache>
                <c:formatCode>0</c:formatCode>
                <c:ptCount val="3"/>
                <c:pt idx="0">
                  <c:v>169</c:v>
                </c:pt>
                <c:pt idx="1">
                  <c:v>45</c:v>
                </c:pt>
                <c:pt idx="2">
                  <c:v>286</c:v>
                </c:pt>
              </c:numCache>
            </c:numRef>
          </c:val>
          <c:extLst>
            <c:ext xmlns:c16="http://schemas.microsoft.com/office/drawing/2014/chart" uri="{C3380CC4-5D6E-409C-BE32-E72D297353CC}">
              <c16:uniqueId val="{00000000-1412-4347-BF11-35A655A7CC79}"/>
            </c:ext>
          </c:extLst>
        </c:ser>
        <c:dLbls>
          <c:showLegendKey val="0"/>
          <c:showVal val="0"/>
          <c:showCatName val="0"/>
          <c:showSerName val="0"/>
          <c:showPercent val="0"/>
          <c:showBubbleSize val="0"/>
        </c:dLbls>
        <c:gapWidth val="332"/>
        <c:axId val="1439006207"/>
        <c:axId val="1439002367"/>
      </c:barChart>
      <c:catAx>
        <c:axId val="14390062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1439002367"/>
        <c:crosses val="autoZero"/>
        <c:auto val="1"/>
        <c:lblAlgn val="ctr"/>
        <c:lblOffset val="100"/>
        <c:noMultiLvlLbl val="0"/>
      </c:catAx>
      <c:valAx>
        <c:axId val="1439002367"/>
        <c:scaling>
          <c:orientation val="minMax"/>
        </c:scaling>
        <c:delete val="1"/>
        <c:axPos val="l"/>
        <c:numFmt formatCode="0" sourceLinked="1"/>
        <c:majorTickMark val="none"/>
        <c:minorTickMark val="none"/>
        <c:tickLblPos val="nextTo"/>
        <c:crossAx val="1439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[MetroBank.xlsx]Sheet1!PivotTable9</c:name>
    <c:fmtId val="2"/>
  </c:pivotSource>
  <c:chart>
    <c:autoTitleDeleted val="1"/>
    <c:pivotFmts>
      <c:pivotFmt>
        <c:idx val="0"/>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Sheet1!$B$10</c:f>
              <c:strCache>
                <c:ptCount val="1"/>
                <c:pt idx="0">
                  <c:v>Total</c:v>
                </c:pt>
              </c:strCache>
            </c:strRef>
          </c:tx>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Sheet1!$A$11:$A$15</c:f>
              <c:strCache>
                <c:ptCount val="4"/>
                <c:pt idx="0">
                  <c:v>Savings</c:v>
                </c:pt>
                <c:pt idx="1">
                  <c:v>Checking</c:v>
                </c:pt>
                <c:pt idx="2">
                  <c:v>CreditCard</c:v>
                </c:pt>
                <c:pt idx="3">
                  <c:v>Loan</c:v>
                </c:pt>
              </c:strCache>
            </c:strRef>
          </c:cat>
          <c:val>
            <c:numRef>
              <c:f>Sheet1!$B$11:$B$15</c:f>
              <c:numCache>
                <c:formatCode>General</c:formatCode>
                <c:ptCount val="4"/>
                <c:pt idx="0">
                  <c:v>303</c:v>
                </c:pt>
                <c:pt idx="1">
                  <c:v>246</c:v>
                </c:pt>
                <c:pt idx="2">
                  <c:v>169</c:v>
                </c:pt>
                <c:pt idx="3">
                  <c:v>82</c:v>
                </c:pt>
              </c:numCache>
            </c:numRef>
          </c:val>
          <c:extLst>
            <c:ext xmlns:c16="http://schemas.microsoft.com/office/drawing/2014/chart" uri="{C3380CC4-5D6E-409C-BE32-E72D297353CC}">
              <c16:uniqueId val="{00000000-DDE2-446D-BCEC-B237D8297414}"/>
            </c:ext>
          </c:extLst>
        </c:ser>
        <c:dLbls>
          <c:showLegendKey val="0"/>
          <c:showVal val="0"/>
          <c:showCatName val="0"/>
          <c:showSerName val="0"/>
          <c:showPercent val="0"/>
          <c:showBubbleSize val="0"/>
        </c:dLbls>
        <c:gapWidth val="96"/>
        <c:overlap val="100"/>
        <c:axId val="132568256"/>
        <c:axId val="132554336"/>
      </c:barChart>
      <c:catAx>
        <c:axId val="1325682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NG"/>
          </a:p>
        </c:txPr>
        <c:crossAx val="132554336"/>
        <c:crosses val="autoZero"/>
        <c:auto val="1"/>
        <c:lblAlgn val="ctr"/>
        <c:lblOffset val="100"/>
        <c:noMultiLvlLbl val="0"/>
      </c:catAx>
      <c:valAx>
        <c:axId val="132554336"/>
        <c:scaling>
          <c:orientation val="minMax"/>
        </c:scaling>
        <c:delete val="1"/>
        <c:axPos val="l"/>
        <c:numFmt formatCode="General" sourceLinked="1"/>
        <c:majorTickMark val="out"/>
        <c:minorTickMark val="none"/>
        <c:tickLblPos val="nextTo"/>
        <c:crossAx val="13256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[MetroBank.xlsx]Sheet1!PivotTable6</c:name>
    <c:fmtId val="4"/>
  </c:pivotSource>
  <c:chart>
    <c:autoTitleDeleted val="1"/>
    <c:pivotFmts>
      <c:pivotFmt>
        <c:idx val="0"/>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0">
            <a:solidFill>
              <a:schemeClr val="lt1"/>
            </a:solidFill>
          </a:ln>
          <a:effectLst/>
        </c:spPr>
        <c:dLbl>
          <c:idx val="0"/>
          <c:layout>
            <c:manualLayout>
              <c:x val="0.10867297202477297"/>
              <c:y val="-8.9485563700333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w="0">
            <a:solidFill>
              <a:schemeClr val="lt1"/>
            </a:solidFill>
          </a:ln>
          <a:effectLst/>
        </c:spPr>
        <c:dLbl>
          <c:idx val="0"/>
          <c:layout>
            <c:manualLayout>
              <c:x val="-9.6133782944991461E-2"/>
              <c:y val="0.13124549342715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0">
            <a:solidFill>
              <a:schemeClr val="lt1"/>
            </a:solidFill>
          </a:ln>
          <a:effectLst/>
        </c:spPr>
        <c:dLbl>
          <c:idx val="0"/>
          <c:layout>
            <c:manualLayout>
              <c:x val="-4.1797296932604984E-2"/>
              <c:y val="-0.25055957836093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0">
            <a:solidFill>
              <a:schemeClr val="lt1"/>
            </a:solidFill>
          </a:ln>
          <a:effectLst/>
        </c:spPr>
        <c:dLbl>
          <c:idx val="0"/>
          <c:layout>
            <c:manualLayout>
              <c:x val="0.12121216110455446"/>
              <c:y val="0.119314084933778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w="0">
            <a:solidFill>
              <a:schemeClr val="lt1"/>
            </a:solidFill>
          </a:ln>
          <a:effectLst/>
        </c:spPr>
        <c:dLbl>
          <c:idx val="0"/>
          <c:layout>
            <c:manualLayout>
              <c:x val="0.10867297202477297"/>
              <c:y val="-8.9485563700333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lt1"/>
            </a:solidFill>
          </a:ln>
          <a:effectLst/>
        </c:spPr>
        <c:dLbl>
          <c:idx val="0"/>
          <c:layout>
            <c:manualLayout>
              <c:x val="0.12121216110455446"/>
              <c:y val="0.119314084933778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25000"/>
            </a:schemeClr>
          </a:solidFill>
          <a:ln w="0">
            <a:solidFill>
              <a:schemeClr val="lt1"/>
            </a:solidFill>
          </a:ln>
          <a:effectLst/>
        </c:spPr>
        <c:dLbl>
          <c:idx val="0"/>
          <c:layout>
            <c:manualLayout>
              <c:x val="-9.6133782944991461E-2"/>
              <c:y val="0.13124549342715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lt1"/>
            </a:solidFill>
          </a:ln>
          <a:effectLst/>
        </c:spPr>
        <c:dLbl>
          <c:idx val="0"/>
          <c:layout>
            <c:manualLayout>
              <c:x val="-4.1797296932604984E-2"/>
              <c:y val="-0.25055957836093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w="0">
            <a:noFill/>
          </a:ln>
          <a:effectLst/>
        </c:spPr>
      </c:pivotFmt>
      <c:pivotFmt>
        <c:idx val="12"/>
        <c:spPr>
          <a:solidFill>
            <a:srgbClr val="034B6F"/>
          </a:solidFill>
          <a:ln w="0">
            <a:noFill/>
          </a:ln>
          <a:effectLst/>
        </c:spPr>
      </c:pivotFmt>
      <c:pivotFmt>
        <c:idx val="13"/>
        <c:spPr>
          <a:solidFill>
            <a:schemeClr val="bg2">
              <a:lumMod val="25000"/>
            </a:schemeClr>
          </a:solidFill>
          <a:ln w="0">
            <a:noFill/>
          </a:ln>
          <a:effectLst/>
        </c:spPr>
      </c:pivotFmt>
      <c:pivotFmt>
        <c:idx val="14"/>
        <c:spPr>
          <a:solidFill>
            <a:schemeClr val="accent1"/>
          </a:solidFill>
          <a:ln w="0">
            <a:noFill/>
          </a:ln>
          <a:effectLst/>
        </c:spPr>
      </c:pivotFmt>
    </c:pivotFmts>
    <c:plotArea>
      <c:layout/>
      <c:doughnutChart>
        <c:varyColors val="1"/>
        <c:ser>
          <c:idx val="0"/>
          <c:order val="0"/>
          <c:tx>
            <c:strRef>
              <c:f>Sheet1!$H$1</c:f>
              <c:strCache>
                <c:ptCount val="1"/>
                <c:pt idx="0">
                  <c:v>Total</c:v>
                </c:pt>
              </c:strCache>
            </c:strRef>
          </c:tx>
          <c:spPr>
            <a:ln w="0">
              <a:noFill/>
            </a:ln>
          </c:spPr>
          <c:dPt>
            <c:idx val="0"/>
            <c:bubble3D val="0"/>
            <c:spPr>
              <a:solidFill>
                <a:schemeClr val="tx1">
                  <a:lumMod val="50000"/>
                  <a:lumOff val="50000"/>
                </a:schemeClr>
              </a:solidFill>
              <a:ln w="0">
                <a:noFill/>
              </a:ln>
              <a:effectLst/>
            </c:spPr>
            <c:extLst>
              <c:ext xmlns:c16="http://schemas.microsoft.com/office/drawing/2014/chart" uri="{C3380CC4-5D6E-409C-BE32-E72D297353CC}">
                <c16:uniqueId val="{00000001-31FF-484E-A741-73056177ECBD}"/>
              </c:ext>
            </c:extLst>
          </c:dPt>
          <c:dPt>
            <c:idx val="1"/>
            <c:bubble3D val="0"/>
            <c:spPr>
              <a:solidFill>
                <a:srgbClr val="034B6F"/>
              </a:solidFill>
              <a:ln w="0">
                <a:noFill/>
              </a:ln>
              <a:effectLst/>
            </c:spPr>
            <c:extLst>
              <c:ext xmlns:c16="http://schemas.microsoft.com/office/drawing/2014/chart" uri="{C3380CC4-5D6E-409C-BE32-E72D297353CC}">
                <c16:uniqueId val="{00000003-31FF-484E-A741-73056177ECBD}"/>
              </c:ext>
            </c:extLst>
          </c:dPt>
          <c:dPt>
            <c:idx val="2"/>
            <c:bubble3D val="0"/>
            <c:spPr>
              <a:solidFill>
                <a:schemeClr val="bg2">
                  <a:lumMod val="25000"/>
                </a:schemeClr>
              </a:solidFill>
              <a:ln w="0">
                <a:noFill/>
              </a:ln>
              <a:effectLst/>
            </c:spPr>
            <c:extLst>
              <c:ext xmlns:c16="http://schemas.microsoft.com/office/drawing/2014/chart" uri="{C3380CC4-5D6E-409C-BE32-E72D297353CC}">
                <c16:uniqueId val="{00000005-31FF-484E-A741-73056177ECBD}"/>
              </c:ext>
            </c:extLst>
          </c:dPt>
          <c:dPt>
            <c:idx val="3"/>
            <c:bubble3D val="0"/>
            <c:spPr>
              <a:solidFill>
                <a:schemeClr val="accent4"/>
              </a:solidFill>
              <a:ln w="0">
                <a:noFill/>
              </a:ln>
              <a:effectLst/>
            </c:spPr>
            <c:extLst>
              <c:ext xmlns:c16="http://schemas.microsoft.com/office/drawing/2014/chart" uri="{C3380CC4-5D6E-409C-BE32-E72D297353CC}">
                <c16:uniqueId val="{00000007-31FF-484E-A741-73056177ECBD}"/>
              </c:ext>
            </c:extLst>
          </c:dPt>
          <c:cat>
            <c:strRef>
              <c:f>Sheet1!$G$2:$G$6</c:f>
              <c:strCache>
                <c:ptCount val="4"/>
                <c:pt idx="0">
                  <c:v>Checking</c:v>
                </c:pt>
                <c:pt idx="1">
                  <c:v>CreditCard</c:v>
                </c:pt>
                <c:pt idx="2">
                  <c:v>Loan</c:v>
                </c:pt>
                <c:pt idx="3">
                  <c:v>Savings</c:v>
                </c:pt>
              </c:strCache>
            </c:strRef>
          </c:cat>
          <c:val>
            <c:numRef>
              <c:f>Sheet1!$H$2:$H$6</c:f>
              <c:numCache>
                <c:formatCode>General</c:formatCode>
                <c:ptCount val="4"/>
                <c:pt idx="0">
                  <c:v>67663129</c:v>
                </c:pt>
                <c:pt idx="1">
                  <c:v>43540576</c:v>
                </c:pt>
                <c:pt idx="2">
                  <c:v>23787377</c:v>
                </c:pt>
                <c:pt idx="3">
                  <c:v>77350052</c:v>
                </c:pt>
              </c:numCache>
            </c:numRef>
          </c:val>
          <c:extLst>
            <c:ext xmlns:c16="http://schemas.microsoft.com/office/drawing/2014/chart" uri="{C3380CC4-5D6E-409C-BE32-E72D297353CC}">
              <c16:uniqueId val="{00000008-31FF-484E-A741-73056177ECBD}"/>
            </c:ext>
          </c:extLst>
        </c:ser>
        <c:dLbls>
          <c:showLegendKey val="0"/>
          <c:showVal val="0"/>
          <c:showCatName val="0"/>
          <c:showSerName val="0"/>
          <c:showPercent val="0"/>
          <c:showBubbleSize val="0"/>
          <c:showLeaderLines val="1"/>
        </c:dLbls>
        <c:firstSliceAng val="0"/>
        <c:holeSize val="69"/>
      </c:doughnutChart>
      <c:spPr>
        <a:noFill/>
        <a:ln>
          <a:noFill/>
        </a:ln>
        <a:effectLst/>
      </c:spPr>
    </c:plotArea>
    <c:legend>
      <c:legendPos val="r"/>
      <c:layout>
        <c:manualLayout>
          <c:xMode val="edge"/>
          <c:yMode val="edge"/>
          <c:x val="0.76264608700641134"/>
          <c:y val="0.26882337776908594"/>
          <c:w val="0.22233044029618718"/>
          <c:h val="0.5324259198918068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[MetroBank.xlsx]Sheet1!PivotTable11</c:name>
    <c:fmtId val="4"/>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97389943426447"/>
          <c:y val="4.4110268725314275E-2"/>
          <c:w val="0.70618387318754527"/>
          <c:h val="0.92781956026766754"/>
        </c:manualLayout>
      </c:layout>
      <c:barChart>
        <c:barDir val="bar"/>
        <c:grouping val="clustered"/>
        <c:varyColors val="0"/>
        <c:ser>
          <c:idx val="0"/>
          <c:order val="0"/>
          <c:tx>
            <c:strRef>
              <c:f>Sheet1!$K$10</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Sheet1!$J$11:$J$14</c:f>
              <c:strCache>
                <c:ptCount val="3"/>
                <c:pt idx="0">
                  <c:v>Corporate</c:v>
                </c:pt>
                <c:pt idx="1">
                  <c:v>Retail</c:v>
                </c:pt>
                <c:pt idx="2">
                  <c:v>Private</c:v>
                </c:pt>
              </c:strCache>
            </c:strRef>
          </c:cat>
          <c:val>
            <c:numRef>
              <c:f>Sheet1!$K$11:$K$14</c:f>
              <c:numCache>
                <c:formatCode>[&gt;=1000000]\$0.0,,"M";[&gt;=1000]\$0.0,"K";0</c:formatCode>
                <c:ptCount val="3"/>
                <c:pt idx="0">
                  <c:v>259460.32411067194</c:v>
                </c:pt>
                <c:pt idx="1">
                  <c:v>267102.03171247354</c:v>
                </c:pt>
                <c:pt idx="2">
                  <c:v>275113.66216216219</c:v>
                </c:pt>
              </c:numCache>
            </c:numRef>
          </c:val>
          <c:extLst>
            <c:ext xmlns:c16="http://schemas.microsoft.com/office/drawing/2014/chart" uri="{C3380CC4-5D6E-409C-BE32-E72D297353CC}">
              <c16:uniqueId val="{00000000-ED21-41D0-AE6F-F5196968426D}"/>
            </c:ext>
          </c:extLst>
        </c:ser>
        <c:dLbls>
          <c:dLblPos val="outEnd"/>
          <c:showLegendKey val="0"/>
          <c:showVal val="1"/>
          <c:showCatName val="0"/>
          <c:showSerName val="0"/>
          <c:showPercent val="0"/>
          <c:showBubbleSize val="0"/>
        </c:dLbls>
        <c:gapWidth val="124"/>
        <c:axId val="1398869519"/>
        <c:axId val="1398861839"/>
      </c:barChart>
      <c:catAx>
        <c:axId val="13988695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398861839"/>
        <c:crosses val="autoZero"/>
        <c:auto val="1"/>
        <c:lblAlgn val="ctr"/>
        <c:lblOffset val="100"/>
        <c:noMultiLvlLbl val="0"/>
      </c:catAx>
      <c:valAx>
        <c:axId val="1398861839"/>
        <c:scaling>
          <c:orientation val="minMax"/>
        </c:scaling>
        <c:delete val="1"/>
        <c:axPos val="b"/>
        <c:numFmt formatCode="[&gt;=1000000]\$0.0,,&quot;M&quot;;[&gt;=1000]\$0.0,&quot;K&quot;;0" sourceLinked="1"/>
        <c:majorTickMark val="none"/>
        <c:minorTickMark val="none"/>
        <c:tickLblPos val="nextTo"/>
        <c:crossAx val="139886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[MetroBank.xlsx]Sheet1!PivotTable1</c:name>
    <c:fmtId val="14"/>
  </c:pivotSource>
  <c:chart>
    <c:autoTitleDeleted val="1"/>
    <c:pivotFmts>
      <c:pivotFmt>
        <c:idx val="0"/>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19050">
            <a:noFill/>
          </a:ln>
          <a:effectLst>
            <a:softEdge rad="0"/>
          </a:effectLst>
        </c:spPr>
        <c:dLbl>
          <c:idx val="0"/>
          <c:layout>
            <c:manualLayout>
              <c:x val="-6.9406392694063915E-2"/>
              <c:y val="0.2487494806432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w="19050">
            <a:noFill/>
          </a:ln>
          <a:effectLst>
            <a:softEdge rad="0"/>
          </a:effectLst>
        </c:spPr>
        <c:dLbl>
          <c:idx val="0"/>
          <c:layout>
            <c:manualLayout>
              <c:x val="-6.9406392694063915E-2"/>
              <c:y val="0.2487494806432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w="19050">
            <a:noFill/>
          </a:ln>
          <a:effectLst>
            <a:softEdge rad="0"/>
          </a:effectLst>
        </c:spPr>
        <c:dLbl>
          <c:idx val="0"/>
          <c:layout>
            <c:manualLayout>
              <c:x val="-9.436834872194827E-2"/>
              <c:y val="0.2487494797538915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Sheet1!$Q$10</c:f>
              <c:strCache>
                <c:ptCount val="1"/>
                <c:pt idx="0">
                  <c:v>Total</c:v>
                </c:pt>
              </c:strCache>
            </c:strRef>
          </c:tx>
          <c:spPr>
            <a:ln>
              <a:noFill/>
            </a:ln>
            <a:effectLst>
              <a:softEdge rad="0"/>
            </a:effectLst>
          </c:spPr>
          <c:dPt>
            <c:idx val="0"/>
            <c:bubble3D val="0"/>
            <c:spPr>
              <a:solidFill>
                <a:schemeClr val="tx2">
                  <a:lumMod val="50000"/>
                  <a:lumOff val="50000"/>
                </a:schemeClr>
              </a:solidFill>
              <a:ln w="19050">
                <a:noFill/>
              </a:ln>
              <a:effectLst>
                <a:softEdge rad="0"/>
              </a:effectLst>
            </c:spPr>
            <c:extLst>
              <c:ext xmlns:c16="http://schemas.microsoft.com/office/drawing/2014/chart" uri="{C3380CC4-5D6E-409C-BE32-E72D297353CC}">
                <c16:uniqueId val="{00000001-FC8F-4CCD-A008-FE9901B4CD2F}"/>
              </c:ext>
            </c:extLst>
          </c:dPt>
          <c:dPt>
            <c:idx val="1"/>
            <c:bubble3D val="0"/>
            <c:spPr>
              <a:solidFill>
                <a:schemeClr val="tx1">
                  <a:lumMod val="50000"/>
                  <a:lumOff val="50000"/>
                </a:schemeClr>
              </a:solidFill>
              <a:ln w="19050">
                <a:noFill/>
              </a:ln>
              <a:effectLst>
                <a:softEdge rad="0"/>
              </a:effectLst>
            </c:spPr>
            <c:extLst>
              <c:ext xmlns:c16="http://schemas.microsoft.com/office/drawing/2014/chart" uri="{C3380CC4-5D6E-409C-BE32-E72D297353CC}">
                <c16:uniqueId val="{00000003-FC8F-4CCD-A008-FE9901B4CD2F}"/>
              </c:ext>
            </c:extLst>
          </c:dPt>
          <c:dLbls>
            <c:dLbl>
              <c:idx val="0"/>
              <c:layout>
                <c:manualLayout>
                  <c:x val="0.17534246575342452"/>
                  <c:y val="0.17994643280575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8F-4CCD-A008-FE9901B4CD2F}"/>
                </c:ext>
              </c:extLst>
            </c:dLbl>
            <c:dLbl>
              <c:idx val="1"/>
              <c:layout>
                <c:manualLayout>
                  <c:x val="-9.436834872194827E-2"/>
                  <c:y val="0.24874947975389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8F-4CCD-A008-FE9901B4CD2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Sheet1!$P$11:$P$13</c:f>
              <c:strCache>
                <c:ptCount val="2"/>
                <c:pt idx="0">
                  <c:v>Approved</c:v>
                </c:pt>
                <c:pt idx="1">
                  <c:v>Rejected</c:v>
                </c:pt>
              </c:strCache>
            </c:strRef>
          </c:cat>
          <c:val>
            <c:numRef>
              <c:f>Sheet1!$Q$11:$Q$13</c:f>
              <c:numCache>
                <c:formatCode>0</c:formatCode>
                <c:ptCount val="2"/>
                <c:pt idx="0">
                  <c:v>580.50877192982455</c:v>
                </c:pt>
                <c:pt idx="1">
                  <c:v>591.8115942028985</c:v>
                </c:pt>
              </c:numCache>
            </c:numRef>
          </c:val>
          <c:extLst>
            <c:ext xmlns:c16="http://schemas.microsoft.com/office/drawing/2014/chart" uri="{C3380CC4-5D6E-409C-BE32-E72D297353CC}">
              <c16:uniqueId val="{00000004-FC8F-4CCD-A008-FE9901B4CD2F}"/>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[MetroBank.xlsx]Sheet1!PivotTable12</c:name>
    <c:fmtId val="11"/>
  </c:pivotSource>
  <c:chart>
    <c:autoTitleDeleted val="1"/>
    <c:pivotFmts>
      <c:pivotFmt>
        <c:idx val="0"/>
        <c:spPr>
          <a:solidFill>
            <a:schemeClr val="accent1"/>
          </a:solidFill>
          <a:ln w="28575" cap="rnd" cmpd="sng">
            <a:solidFill>
              <a:schemeClr val="bg1"/>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bg1"/>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60325" cap="rnd" cmpd="sng">
            <a:solidFill>
              <a:srgbClr val="00B0F0"/>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Sheet1!$N$10</c:f>
              <c:strCache>
                <c:ptCount val="1"/>
                <c:pt idx="0">
                  <c:v>Total</c:v>
                </c:pt>
              </c:strCache>
            </c:strRef>
          </c:tx>
          <c:spPr>
            <a:ln w="60325" cap="rnd" cmpd="sng">
              <a:solidFill>
                <a:srgbClr val="00B0F0"/>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cat>
            <c:strRef>
              <c:f>Sheet1!$M$11:$M$15</c:f>
              <c:strCache>
                <c:ptCount val="4"/>
                <c:pt idx="0">
                  <c:v>Millennials</c:v>
                </c:pt>
                <c:pt idx="1">
                  <c:v>Gen Z</c:v>
                </c:pt>
                <c:pt idx="2">
                  <c:v>Gen X</c:v>
                </c:pt>
                <c:pt idx="3">
                  <c:v>Boomers</c:v>
                </c:pt>
              </c:strCache>
            </c:strRef>
          </c:cat>
          <c:val>
            <c:numRef>
              <c:f>Sheet1!$N$11:$N$15</c:f>
              <c:numCache>
                <c:formatCode>[&gt;=1000000]\$0.0,,"M";[&gt;=1000]\$0.0,"K";0</c:formatCode>
                <c:ptCount val="4"/>
                <c:pt idx="0">
                  <c:v>281351.51082251081</c:v>
                </c:pt>
                <c:pt idx="1">
                  <c:v>269930.76851851854</c:v>
                </c:pt>
                <c:pt idx="2">
                  <c:v>257817.18431372548</c:v>
                </c:pt>
                <c:pt idx="3">
                  <c:v>254626.35922330097</c:v>
                </c:pt>
              </c:numCache>
            </c:numRef>
          </c:val>
          <c:smooth val="1"/>
          <c:extLst>
            <c:ext xmlns:c16="http://schemas.microsoft.com/office/drawing/2014/chart" uri="{C3380CC4-5D6E-409C-BE32-E72D297353CC}">
              <c16:uniqueId val="{00000000-A0BD-4CF1-A341-A996CE0CF706}"/>
            </c:ext>
          </c:extLst>
        </c:ser>
        <c:dLbls>
          <c:showLegendKey val="0"/>
          <c:showVal val="0"/>
          <c:showCatName val="0"/>
          <c:showSerName val="0"/>
          <c:showPercent val="0"/>
          <c:showBubbleSize val="0"/>
        </c:dLbls>
        <c:dropLines>
          <c:spPr>
            <a:ln w="66675" cap="rnd" cmpd="sng" algn="ctr">
              <a:solidFill>
                <a:srgbClr val="00B0F0"/>
              </a:solidFill>
              <a:round/>
              <a:headEnd w="lg" len="lg"/>
            </a:ln>
            <a:effectLst/>
          </c:spPr>
        </c:dropLines>
        <c:marker val="1"/>
        <c:smooth val="0"/>
        <c:axId val="2090056591"/>
        <c:axId val="2090084431"/>
      </c:lineChart>
      <c:catAx>
        <c:axId val="20900565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NG"/>
          </a:p>
        </c:txPr>
        <c:crossAx val="2090084431"/>
        <c:crosses val="autoZero"/>
        <c:auto val="1"/>
        <c:lblAlgn val="ctr"/>
        <c:lblOffset val="100"/>
        <c:noMultiLvlLbl val="0"/>
      </c:catAx>
      <c:valAx>
        <c:axId val="2090084431"/>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9005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0A57-43E8-B874-7E25E270A76B}"/>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0A57-43E8-B874-7E25E270A76B}"/>
              </c:ext>
            </c:extLst>
          </c:dPt>
          <c:cat>
            <c:strRef>
              <c:f>Sheet1!$J$31:$J$32</c:f>
              <c:strCache>
                <c:ptCount val="2"/>
                <c:pt idx="0">
                  <c:v>depo</c:v>
                </c:pt>
                <c:pt idx="1">
                  <c:v>other</c:v>
                </c:pt>
              </c:strCache>
            </c:strRef>
          </c:cat>
          <c:val>
            <c:numRef>
              <c:f>Sheet1!$K$31:$K$32</c:f>
              <c:numCache>
                <c:formatCode>0.0%</c:formatCode>
                <c:ptCount val="2"/>
                <c:pt idx="0">
                  <c:v>0.2474285078936726</c:v>
                </c:pt>
                <c:pt idx="1">
                  <c:v>0.75257149210632734</c:v>
                </c:pt>
              </c:numCache>
            </c:numRef>
          </c:val>
          <c:extLst>
            <c:ext xmlns:c16="http://schemas.microsoft.com/office/drawing/2014/chart" uri="{C3380CC4-5D6E-409C-BE32-E72D297353CC}">
              <c16:uniqueId val="{00000004-0A57-43E8-B874-7E25E270A76B}"/>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23DD-4C13-B122-DDE4E60EF077}"/>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23DD-4C13-B122-DDE4E60EF077}"/>
              </c:ext>
            </c:extLst>
          </c:dPt>
          <c:cat>
            <c:strRef>
              <c:f>Sheet1!$J$34:$J$35</c:f>
              <c:strCache>
                <c:ptCount val="2"/>
                <c:pt idx="0">
                  <c:v>paym</c:v>
                </c:pt>
                <c:pt idx="1">
                  <c:v>other</c:v>
                </c:pt>
              </c:strCache>
            </c:strRef>
          </c:cat>
          <c:val>
            <c:numRef>
              <c:f>Sheet1!$K$34:$K$35</c:f>
              <c:numCache>
                <c:formatCode>0.0%</c:formatCode>
                <c:ptCount val="2"/>
                <c:pt idx="0">
                  <c:v>0.2539584456115192</c:v>
                </c:pt>
                <c:pt idx="1">
                  <c:v>0.74604155438848085</c:v>
                </c:pt>
              </c:numCache>
            </c:numRef>
          </c:val>
          <c:extLst>
            <c:ext xmlns:c16="http://schemas.microsoft.com/office/drawing/2014/chart" uri="{C3380CC4-5D6E-409C-BE32-E72D297353CC}">
              <c16:uniqueId val="{00000004-23DD-4C13-B122-DDE4E60EF077}"/>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8003-4CF7-B008-BD5360A608DE}"/>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8003-4CF7-B008-BD5360A608DE}"/>
              </c:ext>
            </c:extLst>
          </c:dPt>
          <c:cat>
            <c:strRef>
              <c:f>Sheet1!$J$37:$J$38</c:f>
              <c:strCache>
                <c:ptCount val="2"/>
                <c:pt idx="0">
                  <c:v>Trans</c:v>
                </c:pt>
                <c:pt idx="1">
                  <c:v>other</c:v>
                </c:pt>
              </c:strCache>
            </c:strRef>
          </c:cat>
          <c:val>
            <c:numRef>
              <c:f>Sheet1!$K$37:$K$38</c:f>
              <c:numCache>
                <c:formatCode>0.0%</c:formatCode>
                <c:ptCount val="2"/>
                <c:pt idx="0">
                  <c:v>0.24370965889413382</c:v>
                </c:pt>
                <c:pt idx="1">
                  <c:v>0.75629034110586613</c:v>
                </c:pt>
              </c:numCache>
            </c:numRef>
          </c:val>
          <c:extLst>
            <c:ext xmlns:c16="http://schemas.microsoft.com/office/drawing/2014/chart" uri="{C3380CC4-5D6E-409C-BE32-E72D297353CC}">
              <c16:uniqueId val="{00000004-8003-4CF7-B008-BD5360A608DE}"/>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FAE8-4E45-B117-9DE8AB612ECA}"/>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FAE8-4E45-B117-9DE8AB612ECA}"/>
              </c:ext>
            </c:extLst>
          </c:dPt>
          <c:cat>
            <c:strRef>
              <c:f>Sheet1!$J$40:$J$41</c:f>
              <c:strCache>
                <c:ptCount val="2"/>
                <c:pt idx="0">
                  <c:v>Withdraw</c:v>
                </c:pt>
                <c:pt idx="1">
                  <c:v>other</c:v>
                </c:pt>
              </c:strCache>
            </c:strRef>
          </c:cat>
          <c:val>
            <c:numRef>
              <c:f>Sheet1!$K$40:$K$41</c:f>
              <c:numCache>
                <c:formatCode>0.00%</c:formatCode>
                <c:ptCount val="2"/>
                <c:pt idx="0" formatCode="0.0%">
                  <c:v>0.25490338760067438</c:v>
                </c:pt>
                <c:pt idx="1">
                  <c:v>0.74509661239932568</c:v>
                </c:pt>
              </c:numCache>
            </c:numRef>
          </c:val>
          <c:extLst>
            <c:ext xmlns:c16="http://schemas.microsoft.com/office/drawing/2014/chart" uri="{C3380CC4-5D6E-409C-BE32-E72D297353CC}">
              <c16:uniqueId val="{00000004-FAE8-4E45-B117-9DE8AB612ECA}"/>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[MetroBank.xlsx]Sheet1!PivotTable16</c:name>
    <c:fmtId val="13"/>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pivotFmt>
      <c:pivotFmt>
        <c:idx val="5"/>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pivotFmt>
      <c:pivotFmt>
        <c:idx val="7"/>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4"/>
            <a:stretch>
              <a:fillRect/>
            </a:stretch>
          </a:blipFill>
          <a:ln>
            <a:noFill/>
          </a:ln>
          <a:effectLst/>
        </c:spPr>
      </c:pivotFmt>
      <c:pivotFmt>
        <c:idx val="9"/>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4"/>
            <a:stretch>
              <a:fillRect/>
            </a:stretch>
          </a:blipFill>
          <a:ln>
            <a:noFill/>
          </a:ln>
          <a:effectLst/>
        </c:spPr>
      </c:pivotFmt>
      <c:pivotFmt>
        <c:idx val="11"/>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4"/>
            <a:stretch>
              <a:fillRect/>
            </a:stretch>
          </a:blipFill>
          <a:ln>
            <a:noFill/>
          </a:ln>
          <a:effectLst/>
        </c:spPr>
      </c:pivotFmt>
      <c:pivotFmt>
        <c:idx val="13"/>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4"/>
            <a:stretch>
              <a:fillRect/>
            </a:stretch>
          </a:blipFill>
          <a:ln>
            <a:noFill/>
          </a:ln>
          <a:effectLst/>
        </c:spPr>
      </c:pivotFmt>
      <c:pivotFmt>
        <c:idx val="15"/>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blipFill>
            <a:blip xmlns:r="http://schemas.openxmlformats.org/officeDocument/2006/relationships" r:embed="rId5"/>
            <a:stretch>
              <a:fillRect/>
            </a:stretch>
          </a:blipFill>
          <a:ln>
            <a:noFill/>
          </a:ln>
          <a:effectLst/>
        </c:spPr>
      </c:pivotFmt>
      <c:pivotFmt>
        <c:idx val="17"/>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blipFill>
            <a:blip xmlns:r="http://schemas.openxmlformats.org/officeDocument/2006/relationships" r:embed="rId5"/>
            <a:stretch>
              <a:fillRect/>
            </a:stretch>
          </a:blipFill>
          <a:ln>
            <a:noFill/>
          </a:ln>
          <a:effectLst/>
        </c:spPr>
      </c:pivotFmt>
      <c:pivotFmt>
        <c:idx val="19"/>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blipFill>
            <a:blip xmlns:r="http://schemas.openxmlformats.org/officeDocument/2006/relationships" r:embed="rId5"/>
            <a:stretch>
              <a:fillRect/>
            </a:stretch>
          </a:blipFill>
          <a:ln>
            <a:noFill/>
          </a:ln>
          <a:effectLst/>
        </c:spPr>
      </c:pivotFmt>
    </c:pivotFmts>
    <c:plotArea>
      <c:layout/>
      <c:barChart>
        <c:barDir val="bar"/>
        <c:grouping val="clustered"/>
        <c:varyColors val="0"/>
        <c:ser>
          <c:idx val="0"/>
          <c:order val="0"/>
          <c:tx>
            <c:strRef>
              <c:f>Sheet1!$N$19</c:f>
              <c:strCache>
                <c:ptCount val="1"/>
                <c:pt idx="0">
                  <c:v>Total</c:v>
                </c:pt>
              </c:strCache>
            </c:strRef>
          </c:tx>
          <c:spPr>
            <a:blipFill>
              <a:blip xmlns:r="http://schemas.openxmlformats.org/officeDocument/2006/relationships" r:embed="rId5"/>
              <a:stretch>
                <a:fillRect/>
              </a:stretch>
            </a:blipFill>
            <a:ln>
              <a:noFill/>
            </a:ln>
            <a:effectLst/>
          </c:spPr>
          <c:invertIfNegative val="0"/>
          <c:dPt>
            <c:idx val="3"/>
            <c:invertIfNegative val="0"/>
            <c:bubble3D val="0"/>
            <c:spPr>
              <a:blipFill>
                <a:blip xmlns:r="http://schemas.openxmlformats.org/officeDocument/2006/relationships" r:embed="rId5"/>
                <a:stretch>
                  <a:fillRect/>
                </a:stretch>
              </a:blipFill>
              <a:ln>
                <a:noFill/>
              </a:ln>
              <a:effectLst/>
            </c:spPr>
            <c:pictureOptions>
              <c:pictureFormat val="stretch"/>
            </c:pictureOptions>
            <c:extLst>
              <c:ext xmlns:c16="http://schemas.microsoft.com/office/drawing/2014/chart" uri="{C3380CC4-5D6E-409C-BE32-E72D297353CC}">
                <c16:uniqueId val="{00000001-87F1-4EFF-B215-3354AD849BE6}"/>
              </c:ext>
            </c:extLst>
          </c:dPt>
          <c:cat>
            <c:strRef>
              <c:f>Sheet1!$M$20:$M$24</c:f>
              <c:strCache>
                <c:ptCount val="4"/>
                <c:pt idx="0">
                  <c:v>ATM</c:v>
                </c:pt>
                <c:pt idx="1">
                  <c:v>Branch</c:v>
                </c:pt>
                <c:pt idx="2">
                  <c:v>Online</c:v>
                </c:pt>
                <c:pt idx="3">
                  <c:v>POS</c:v>
                </c:pt>
              </c:strCache>
            </c:strRef>
          </c:cat>
          <c:val>
            <c:numRef>
              <c:f>Sheet1!$N$20:$N$24</c:f>
              <c:numCache>
                <c:formatCode>_-* #,##0_-;\-* #,##0_-;_-* "-"??_-;_-@_-</c:formatCode>
                <c:ptCount val="4"/>
                <c:pt idx="0">
                  <c:v>1235</c:v>
                </c:pt>
                <c:pt idx="1">
                  <c:v>1244</c:v>
                </c:pt>
                <c:pt idx="2">
                  <c:v>1235</c:v>
                </c:pt>
                <c:pt idx="3">
                  <c:v>1286</c:v>
                </c:pt>
              </c:numCache>
            </c:numRef>
          </c:val>
          <c:extLst>
            <c:ext xmlns:c16="http://schemas.microsoft.com/office/drawing/2014/chart" uri="{C3380CC4-5D6E-409C-BE32-E72D297353CC}">
              <c16:uniqueId val="{00000002-87F1-4EFF-B215-3354AD849BE6}"/>
            </c:ext>
          </c:extLst>
        </c:ser>
        <c:dLbls>
          <c:showLegendKey val="0"/>
          <c:showVal val="0"/>
          <c:showCatName val="0"/>
          <c:showSerName val="0"/>
          <c:showPercent val="0"/>
          <c:showBubbleSize val="0"/>
        </c:dLbls>
        <c:gapWidth val="457"/>
        <c:axId val="1032282447"/>
        <c:axId val="1032281007"/>
      </c:barChart>
      <c:catAx>
        <c:axId val="10322824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NG"/>
          </a:p>
        </c:txPr>
        <c:crossAx val="1032281007"/>
        <c:crosses val="autoZero"/>
        <c:auto val="1"/>
        <c:lblAlgn val="ctr"/>
        <c:lblOffset val="100"/>
        <c:noMultiLvlLbl val="0"/>
      </c:catAx>
      <c:valAx>
        <c:axId val="1032281007"/>
        <c:scaling>
          <c:orientation val="minMax"/>
        </c:scaling>
        <c:delete val="1"/>
        <c:axPos val="b"/>
        <c:numFmt formatCode="_-* #,##0_-;\-* #,##0_-;_-* &quot;-&quot;??_-;_-@_-" sourceLinked="1"/>
        <c:majorTickMark val="out"/>
        <c:minorTickMark val="none"/>
        <c:tickLblPos val="nextTo"/>
        <c:crossAx val="103228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[MetroBank.xlsx]Sheet1!PivotTable17</c:name>
    <c:fmtId val="8"/>
  </c:pivotSource>
  <c:chart>
    <c:autoTitleDeleted val="1"/>
    <c:pivotFmts>
      <c:pivotFmt>
        <c:idx val="0"/>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1"/>
        <c:spPr>
          <a:blipFill>
            <a:blip xmlns:r="http://schemas.openxmlformats.org/officeDocument/2006/relationships" r:embed="rId1"/>
            <a:stretch>
              <a:fillRect/>
            </a:stretch>
          </a:blipFill>
          <a:ln>
            <a:noFill/>
          </a:ln>
          <a:effectLst/>
        </c:spPr>
      </c:pivotFmt>
      <c:pivotFmt>
        <c:idx val="2"/>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3"/>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4"/>
        <c:spPr>
          <a:blipFill>
            <a:blip xmlns:r="http://schemas.openxmlformats.org/officeDocument/2006/relationships" r:embed="rId1"/>
            <a:stretch>
              <a:fillRect/>
            </a:stretch>
          </a:blipFill>
          <a:ln>
            <a:noFill/>
          </a:ln>
          <a:effectLst/>
        </c:spPr>
      </c:pivotFmt>
      <c:pivotFmt>
        <c:idx val="5"/>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6"/>
        <c:spPr>
          <a:blipFill>
            <a:blip xmlns:r="http://schemas.openxmlformats.org/officeDocument/2006/relationships" r:embed="rId1"/>
            <a:stretch>
              <a:fillRect/>
            </a:stretch>
          </a:blipFill>
          <a:ln>
            <a:noFill/>
          </a:ln>
          <a:effectLst/>
        </c:spPr>
      </c:pivotFmt>
      <c:pivotFmt>
        <c:idx val="7"/>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8"/>
        <c:spPr>
          <a:blipFill>
            <a:blip xmlns:r="http://schemas.openxmlformats.org/officeDocument/2006/relationships" r:embed="rId2"/>
            <a:stretch>
              <a:fillRect/>
            </a:stretch>
          </a:blipFill>
          <a:ln>
            <a:noFill/>
          </a:ln>
          <a:effectLst/>
        </c:spPr>
      </c:pivotFmt>
      <c:pivotFmt>
        <c:idx val="9"/>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0"/>
        <c:spPr>
          <a:blipFill>
            <a:blip xmlns:r="http://schemas.openxmlformats.org/officeDocument/2006/relationships" r:embed="rId2"/>
            <a:stretch>
              <a:fillRect/>
            </a:stretch>
          </a:blipFill>
          <a:ln>
            <a:noFill/>
          </a:ln>
          <a:effectLst/>
        </c:spPr>
      </c:pivotFmt>
      <c:pivotFmt>
        <c:idx val="11"/>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2"/>
        <c:spPr>
          <a:blipFill>
            <a:blip xmlns:r="http://schemas.openxmlformats.org/officeDocument/2006/relationships" r:embed="rId2"/>
            <a:stretch>
              <a:fillRect/>
            </a:stretch>
          </a:blipFill>
          <a:ln>
            <a:noFill/>
          </a:ln>
          <a:effectLst/>
        </c:spPr>
      </c:pivotFmt>
      <c:pivotFmt>
        <c:idx val="13"/>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4"/>
        <c:spPr>
          <a:blipFill>
            <a:blip xmlns:r="http://schemas.openxmlformats.org/officeDocument/2006/relationships" r:embed="rId2"/>
            <a:stretch>
              <a:fillRect/>
            </a:stretch>
          </a:blipFill>
          <a:ln>
            <a:noFill/>
          </a:ln>
          <a:effectLst/>
        </c:spPr>
      </c:pivotFmt>
      <c:pivotFmt>
        <c:idx val="15"/>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16"/>
        <c:spPr>
          <a:blipFill>
            <a:blip xmlns:r="http://schemas.openxmlformats.org/officeDocument/2006/relationships" r:embed="rId3"/>
            <a:stretch>
              <a:fillRect/>
            </a:stretch>
          </a:blipFill>
          <a:ln>
            <a:noFill/>
          </a:ln>
          <a:effectLst/>
        </c:spPr>
      </c:pivotFmt>
      <c:pivotFmt>
        <c:idx val="17"/>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18"/>
        <c:spPr>
          <a:blipFill>
            <a:blip xmlns:r="http://schemas.openxmlformats.org/officeDocument/2006/relationships" r:embed="rId3"/>
            <a:stretch>
              <a:fillRect/>
            </a:stretch>
          </a:blipFill>
          <a:ln>
            <a:noFill/>
          </a:ln>
          <a:effectLst/>
        </c:spPr>
      </c:pivotFmt>
      <c:pivotFmt>
        <c:idx val="19"/>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0"/>
        <c:spPr>
          <a:blipFill>
            <a:blip xmlns:r="http://schemas.openxmlformats.org/officeDocument/2006/relationships" r:embed="rId3"/>
            <a:stretch>
              <a:fillRect/>
            </a:stretch>
          </a:blipFill>
          <a:ln>
            <a:noFill/>
          </a:ln>
          <a:effectLst/>
        </c:spPr>
      </c:pivotFmt>
      <c:pivotFmt>
        <c:idx val="21"/>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2"/>
        <c:spPr>
          <a:blipFill>
            <a:blip xmlns:r="http://schemas.openxmlformats.org/officeDocument/2006/relationships" r:embed="rId3"/>
            <a:stretch>
              <a:fillRect/>
            </a:stretch>
          </a:blipFill>
          <a:ln>
            <a:noFill/>
          </a:ln>
          <a:effectLst/>
        </c:spPr>
      </c:pivotFmt>
      <c:pivotFmt>
        <c:idx val="23"/>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4"/>
        <c:spPr>
          <a:blipFill>
            <a:blip xmlns:r="http://schemas.openxmlformats.org/officeDocument/2006/relationships" r:embed="rId3"/>
            <a:stretch>
              <a:fillRect/>
            </a:stretch>
          </a:blipFill>
          <a:ln>
            <a:noFill/>
          </a:ln>
          <a:effectLst/>
        </c:spPr>
      </c:pivotFmt>
      <c:pivotFmt>
        <c:idx val="25"/>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6"/>
        <c:spPr>
          <a:blipFill>
            <a:blip xmlns:r="http://schemas.openxmlformats.org/officeDocument/2006/relationships" r:embed="rId3"/>
            <a:stretch>
              <a:fillRect/>
            </a:stretch>
          </a:blipFill>
          <a:ln>
            <a:noFill/>
          </a:ln>
          <a:effectLst/>
        </c:spPr>
      </c:pivotFmt>
    </c:pivotFmts>
    <c:plotArea>
      <c:layout/>
      <c:barChart>
        <c:barDir val="bar"/>
        <c:grouping val="clustered"/>
        <c:varyColors val="0"/>
        <c:ser>
          <c:idx val="0"/>
          <c:order val="0"/>
          <c:tx>
            <c:strRef>
              <c:f>Sheet1!$Q$19</c:f>
              <c:strCache>
                <c:ptCount val="1"/>
                <c:pt idx="0">
                  <c:v>Total</c:v>
                </c:pt>
              </c:strCache>
            </c:strRef>
          </c:tx>
          <c:spPr>
            <a:blipFill>
              <a:blip xmlns:r="http://schemas.openxmlformats.org/officeDocument/2006/relationships" r:embed="rId3"/>
              <a:stretch>
                <a:fillRect/>
              </a:stretch>
            </a:blipFill>
            <a:ln>
              <a:noFill/>
            </a:ln>
            <a:effectLst/>
          </c:spPr>
          <c:invertIfNegative val="0"/>
          <c:dPt>
            <c:idx val="3"/>
            <c:invertIfNegative val="0"/>
            <c:bubble3D val="0"/>
            <c:spPr>
              <a:blipFill>
                <a:blip xmlns:r="http://schemas.openxmlformats.org/officeDocument/2006/relationships" r:embed="rId3"/>
                <a:stretch>
                  <a:fillRect/>
                </a:stretch>
              </a:blipFill>
              <a:ln>
                <a:noFill/>
              </a:ln>
              <a:effectLst/>
            </c:spPr>
            <c:pictureOptions>
              <c:pictureFormat val="stretch"/>
            </c:pictureOptions>
            <c:extLst>
              <c:ext xmlns:c16="http://schemas.microsoft.com/office/drawing/2014/chart" uri="{C3380CC4-5D6E-409C-BE32-E72D297353CC}">
                <c16:uniqueId val="{00000003-F440-473D-8DA1-17FDF807AF7B}"/>
              </c:ext>
            </c:extLst>
          </c:dPt>
          <c:cat>
            <c:strRef>
              <c:f>Sheet1!$P$20:$P$25</c:f>
              <c:strCache>
                <c:ptCount val="5"/>
                <c:pt idx="0">
                  <c:v>Shell</c:v>
                </c:pt>
                <c:pt idx="1">
                  <c:v>Uber</c:v>
                </c:pt>
                <c:pt idx="2">
                  <c:v>Apple</c:v>
                </c:pt>
                <c:pt idx="3">
                  <c:v>LocalStore</c:v>
                </c:pt>
                <c:pt idx="4">
                  <c:v>Airbnb</c:v>
                </c:pt>
              </c:strCache>
            </c:strRef>
          </c:cat>
          <c:val>
            <c:numRef>
              <c:f>Sheet1!$Q$20:$Q$25</c:f>
              <c:numCache>
                <c:formatCode>_-* #,##0_-;\-* #,##0_-;_-* "-"??_-;_-@_-</c:formatCode>
                <c:ptCount val="5"/>
                <c:pt idx="0">
                  <c:v>500</c:v>
                </c:pt>
                <c:pt idx="1">
                  <c:v>509</c:v>
                </c:pt>
                <c:pt idx="2">
                  <c:v>513</c:v>
                </c:pt>
                <c:pt idx="3">
                  <c:v>519</c:v>
                </c:pt>
                <c:pt idx="4">
                  <c:v>571</c:v>
                </c:pt>
              </c:numCache>
            </c:numRef>
          </c:val>
          <c:extLst>
            <c:ext xmlns:c16="http://schemas.microsoft.com/office/drawing/2014/chart" uri="{C3380CC4-5D6E-409C-BE32-E72D297353CC}">
              <c16:uniqueId val="{00000004-F440-473D-8DA1-17FDF807AF7B}"/>
            </c:ext>
          </c:extLst>
        </c:ser>
        <c:dLbls>
          <c:showLegendKey val="0"/>
          <c:showVal val="0"/>
          <c:showCatName val="0"/>
          <c:showSerName val="0"/>
          <c:showPercent val="0"/>
          <c:showBubbleSize val="0"/>
        </c:dLbls>
        <c:gapWidth val="457"/>
        <c:axId val="1032282447"/>
        <c:axId val="1032281007"/>
      </c:barChart>
      <c:catAx>
        <c:axId val="10322824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NG"/>
          </a:p>
        </c:txPr>
        <c:crossAx val="1032281007"/>
        <c:crosses val="autoZero"/>
        <c:auto val="1"/>
        <c:lblAlgn val="ctr"/>
        <c:lblOffset val="100"/>
        <c:noMultiLvlLbl val="0"/>
      </c:catAx>
      <c:valAx>
        <c:axId val="1032281007"/>
        <c:scaling>
          <c:orientation val="minMax"/>
        </c:scaling>
        <c:delete val="1"/>
        <c:axPos val="b"/>
        <c:numFmt formatCode="_-* #,##0_-;\-* #,##0_-;_-* &quot;-&quot;??_-;_-@_-" sourceLinked="1"/>
        <c:majorTickMark val="out"/>
        <c:minorTickMark val="none"/>
        <c:tickLblPos val="nextTo"/>
        <c:crossAx val="10322824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[MetroBank.xlsx]Sheet1!PivotTable19</c:name>
    <c:fmtId val="11"/>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Sheet1!$T$19:$T$20</c:f>
              <c:strCache>
                <c:ptCount val="1"/>
                <c:pt idx="0">
                  <c:v>Deposit</c:v>
                </c:pt>
              </c:strCache>
            </c:strRef>
          </c:tx>
          <c:spPr>
            <a:solidFill>
              <a:schemeClr val="tx2">
                <a:lumMod val="90000"/>
                <a:lumOff val="10000"/>
              </a:schemeClr>
            </a:solidFill>
            <a:ln>
              <a:noFill/>
            </a:ln>
            <a:effectLst/>
          </c:spPr>
          <c:invertIfNegative val="0"/>
          <c:cat>
            <c:strRef>
              <c:f>Sheet1!$S$21:$S$23</c:f>
              <c:strCache>
                <c:ptCount val="2"/>
                <c:pt idx="0">
                  <c:v>No</c:v>
                </c:pt>
                <c:pt idx="1">
                  <c:v>Yes</c:v>
                </c:pt>
              </c:strCache>
            </c:strRef>
          </c:cat>
          <c:val>
            <c:numRef>
              <c:f>Sheet1!$T$21:$T$23</c:f>
              <c:numCache>
                <c:formatCode>_-* #,##0_-;\-* #,##0_-;_-* "-"??_-;_-@_-</c:formatCode>
                <c:ptCount val="2"/>
                <c:pt idx="0">
                  <c:v>956</c:v>
                </c:pt>
                <c:pt idx="1">
                  <c:v>268</c:v>
                </c:pt>
              </c:numCache>
            </c:numRef>
          </c:val>
          <c:extLst>
            <c:ext xmlns:c16="http://schemas.microsoft.com/office/drawing/2014/chart" uri="{C3380CC4-5D6E-409C-BE32-E72D297353CC}">
              <c16:uniqueId val="{00000000-371D-46A9-AA91-BE9D14A659DC}"/>
            </c:ext>
          </c:extLst>
        </c:ser>
        <c:ser>
          <c:idx val="1"/>
          <c:order val="1"/>
          <c:tx>
            <c:strRef>
              <c:f>Sheet1!$U$19:$U$20</c:f>
              <c:strCache>
                <c:ptCount val="1"/>
                <c:pt idx="0">
                  <c:v>Payment</c:v>
                </c:pt>
              </c:strCache>
            </c:strRef>
          </c:tx>
          <c:spPr>
            <a:solidFill>
              <a:schemeClr val="tx1">
                <a:lumMod val="85000"/>
                <a:lumOff val="15000"/>
              </a:schemeClr>
            </a:solidFill>
            <a:ln>
              <a:noFill/>
            </a:ln>
            <a:effectLst/>
          </c:spPr>
          <c:invertIfNegative val="0"/>
          <c:cat>
            <c:strRef>
              <c:f>Sheet1!$S$21:$S$23</c:f>
              <c:strCache>
                <c:ptCount val="2"/>
                <c:pt idx="0">
                  <c:v>No</c:v>
                </c:pt>
                <c:pt idx="1">
                  <c:v>Yes</c:v>
                </c:pt>
              </c:strCache>
            </c:strRef>
          </c:cat>
          <c:val>
            <c:numRef>
              <c:f>Sheet1!$U$21:$U$23</c:f>
              <c:numCache>
                <c:formatCode>_-* #,##0_-;\-* #,##0_-;_-* "-"??_-;_-@_-</c:formatCode>
                <c:ptCount val="2"/>
                <c:pt idx="0">
                  <c:v>997</c:v>
                </c:pt>
                <c:pt idx="1">
                  <c:v>269</c:v>
                </c:pt>
              </c:numCache>
            </c:numRef>
          </c:val>
          <c:extLst>
            <c:ext xmlns:c16="http://schemas.microsoft.com/office/drawing/2014/chart" uri="{C3380CC4-5D6E-409C-BE32-E72D297353CC}">
              <c16:uniqueId val="{00000001-371D-46A9-AA91-BE9D14A659DC}"/>
            </c:ext>
          </c:extLst>
        </c:ser>
        <c:ser>
          <c:idx val="2"/>
          <c:order val="2"/>
          <c:tx>
            <c:strRef>
              <c:f>Sheet1!$V$19:$V$20</c:f>
              <c:strCache>
                <c:ptCount val="1"/>
                <c:pt idx="0">
                  <c:v>Transfer</c:v>
                </c:pt>
              </c:strCache>
            </c:strRef>
          </c:tx>
          <c:spPr>
            <a:solidFill>
              <a:schemeClr val="tx1">
                <a:lumMod val="50000"/>
                <a:lumOff val="50000"/>
              </a:schemeClr>
            </a:solidFill>
            <a:ln>
              <a:noFill/>
            </a:ln>
            <a:effectLst/>
          </c:spPr>
          <c:invertIfNegative val="0"/>
          <c:cat>
            <c:strRef>
              <c:f>Sheet1!$S$21:$S$23</c:f>
              <c:strCache>
                <c:ptCount val="2"/>
                <c:pt idx="0">
                  <c:v>No</c:v>
                </c:pt>
                <c:pt idx="1">
                  <c:v>Yes</c:v>
                </c:pt>
              </c:strCache>
            </c:strRef>
          </c:cat>
          <c:val>
            <c:numRef>
              <c:f>Sheet1!$V$21:$V$23</c:f>
              <c:numCache>
                <c:formatCode>_-* #,##0_-;\-* #,##0_-;_-* "-"??_-;_-@_-</c:formatCode>
                <c:ptCount val="2"/>
                <c:pt idx="0">
                  <c:v>976</c:v>
                </c:pt>
                <c:pt idx="1">
                  <c:v>268</c:v>
                </c:pt>
              </c:numCache>
            </c:numRef>
          </c:val>
          <c:extLst>
            <c:ext xmlns:c16="http://schemas.microsoft.com/office/drawing/2014/chart" uri="{C3380CC4-5D6E-409C-BE32-E72D297353CC}">
              <c16:uniqueId val="{00000002-371D-46A9-AA91-BE9D14A659DC}"/>
            </c:ext>
          </c:extLst>
        </c:ser>
        <c:ser>
          <c:idx val="3"/>
          <c:order val="3"/>
          <c:tx>
            <c:strRef>
              <c:f>Sheet1!$W$19:$W$20</c:f>
              <c:strCache>
                <c:ptCount val="1"/>
                <c:pt idx="0">
                  <c:v>Withdrawal</c:v>
                </c:pt>
              </c:strCache>
            </c:strRef>
          </c:tx>
          <c:spPr>
            <a:solidFill>
              <a:schemeClr val="accent4"/>
            </a:solidFill>
            <a:ln>
              <a:noFill/>
            </a:ln>
            <a:effectLst/>
          </c:spPr>
          <c:invertIfNegative val="0"/>
          <c:cat>
            <c:strRef>
              <c:f>Sheet1!$S$21:$S$23</c:f>
              <c:strCache>
                <c:ptCount val="2"/>
                <c:pt idx="0">
                  <c:v>No</c:v>
                </c:pt>
                <c:pt idx="1">
                  <c:v>Yes</c:v>
                </c:pt>
              </c:strCache>
            </c:strRef>
          </c:cat>
          <c:val>
            <c:numRef>
              <c:f>Sheet1!$W$21:$W$23</c:f>
              <c:numCache>
                <c:formatCode>_-* #,##0_-;\-* #,##0_-;_-* "-"??_-;_-@_-</c:formatCode>
                <c:ptCount val="2"/>
                <c:pt idx="0">
                  <c:v>1014</c:v>
                </c:pt>
                <c:pt idx="1">
                  <c:v>252</c:v>
                </c:pt>
              </c:numCache>
            </c:numRef>
          </c:val>
          <c:extLst>
            <c:ext xmlns:c16="http://schemas.microsoft.com/office/drawing/2014/chart" uri="{C3380CC4-5D6E-409C-BE32-E72D297353CC}">
              <c16:uniqueId val="{00000003-371D-46A9-AA91-BE9D14A659DC}"/>
            </c:ext>
          </c:extLst>
        </c:ser>
        <c:dLbls>
          <c:showLegendKey val="0"/>
          <c:showVal val="0"/>
          <c:showCatName val="0"/>
          <c:showSerName val="0"/>
          <c:showPercent val="0"/>
          <c:showBubbleSize val="0"/>
        </c:dLbls>
        <c:gapWidth val="150"/>
        <c:overlap val="100"/>
        <c:axId val="2107911935"/>
        <c:axId val="2107909055"/>
      </c:barChart>
      <c:catAx>
        <c:axId val="2107911935"/>
        <c:scaling>
          <c:orientation val="minMax"/>
        </c:scaling>
        <c:delete val="1"/>
        <c:axPos val="l"/>
        <c:numFmt formatCode="General" sourceLinked="1"/>
        <c:majorTickMark val="none"/>
        <c:minorTickMark val="none"/>
        <c:tickLblPos val="nextTo"/>
        <c:crossAx val="2107909055"/>
        <c:crosses val="autoZero"/>
        <c:auto val="1"/>
        <c:lblAlgn val="ctr"/>
        <c:lblOffset val="100"/>
        <c:noMultiLvlLbl val="0"/>
      </c:catAx>
      <c:valAx>
        <c:axId val="2107909055"/>
        <c:scaling>
          <c:orientation val="minMax"/>
        </c:scaling>
        <c:delete val="1"/>
        <c:axPos val="b"/>
        <c:numFmt formatCode="_-* #,##0_-;\-* #,##0_-;_-* &quot;-&quot;??_-;_-@_-" sourceLinked="1"/>
        <c:majorTickMark val="none"/>
        <c:minorTickMark val="none"/>
        <c:tickLblPos val="nextTo"/>
        <c:crossAx val="2107911935"/>
        <c:crosses val="autoZero"/>
        <c:crossBetween val="between"/>
      </c:valAx>
      <c:spPr>
        <a:noFill/>
        <a:ln>
          <a:noFill/>
        </a:ln>
        <a:effectLst/>
      </c:spPr>
    </c:plotArea>
    <c:legend>
      <c:legendPos val="b"/>
      <c:layout>
        <c:manualLayout>
          <c:xMode val="edge"/>
          <c:yMode val="edge"/>
          <c:x val="3.0574723685404287E-2"/>
          <c:y val="0.83124818717084648"/>
          <c:w val="0.88882306793256372"/>
          <c:h val="0.1467441243650214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[MetroBank.xlsx]Sheet1!PivotTable27</c:name>
    <c:fmtId val="24"/>
  </c:pivotSource>
  <c:chart>
    <c:autoTitleDeleted val="1"/>
    <c:pivotFmts>
      <c:pivotFmt>
        <c:idx val="0"/>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Sheet1!$B$93</c:f>
              <c:strCache>
                <c:ptCount val="1"/>
                <c:pt idx="0">
                  <c:v>Total</c:v>
                </c:pt>
              </c:strCache>
            </c:strRef>
          </c:tx>
          <c:spPr>
            <a:solidFill>
              <a:srgbClr val="288E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Sheet1!$A$94:$A$99</c:f>
              <c:strCache>
                <c:ptCount val="5"/>
                <c:pt idx="0">
                  <c:v>Michaeltown</c:v>
                </c:pt>
                <c:pt idx="1">
                  <c:v>Lisaville</c:v>
                </c:pt>
                <c:pt idx="2">
                  <c:v>Robertaport</c:v>
                </c:pt>
                <c:pt idx="3">
                  <c:v>Javiertown</c:v>
                </c:pt>
                <c:pt idx="4">
                  <c:v>North Daniel</c:v>
                </c:pt>
              </c:strCache>
            </c:strRef>
          </c:cat>
          <c:val>
            <c:numRef>
              <c:f>Sheet1!$B$94:$B$99</c:f>
              <c:numCache>
                <c:formatCode>[&gt;=1000000]\$0.0,,"M";[&gt;=1000]\$0.0,"K";0</c:formatCode>
                <c:ptCount val="5"/>
                <c:pt idx="0">
                  <c:v>4433157</c:v>
                </c:pt>
                <c:pt idx="1">
                  <c:v>4549474</c:v>
                </c:pt>
                <c:pt idx="2">
                  <c:v>4576153</c:v>
                </c:pt>
                <c:pt idx="3">
                  <c:v>4780242</c:v>
                </c:pt>
                <c:pt idx="4">
                  <c:v>4840283</c:v>
                </c:pt>
              </c:numCache>
            </c:numRef>
          </c:val>
          <c:extLst>
            <c:ext xmlns:c16="http://schemas.microsoft.com/office/drawing/2014/chart" uri="{C3380CC4-5D6E-409C-BE32-E72D297353CC}">
              <c16:uniqueId val="{00000000-B7AA-4377-BB7C-670EE6A1E331}"/>
            </c:ext>
          </c:extLst>
        </c:ser>
        <c:dLbls>
          <c:showLegendKey val="0"/>
          <c:showVal val="0"/>
          <c:showCatName val="0"/>
          <c:showSerName val="0"/>
          <c:showPercent val="0"/>
          <c:showBubbleSize val="0"/>
        </c:dLbls>
        <c:gapWidth val="165"/>
        <c:axId val="1712352687"/>
        <c:axId val="1712354607"/>
      </c:barChart>
      <c:catAx>
        <c:axId val="17123526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712354607"/>
        <c:crosses val="autoZero"/>
        <c:auto val="1"/>
        <c:lblAlgn val="ctr"/>
        <c:lblOffset val="100"/>
        <c:noMultiLvlLbl val="0"/>
      </c:catAx>
      <c:valAx>
        <c:axId val="1712354607"/>
        <c:scaling>
          <c:orientation val="minMax"/>
        </c:scaling>
        <c:delete val="1"/>
        <c:axPos val="b"/>
        <c:numFmt formatCode="[&gt;=1000000]\$0.0,,&quot;M&quot;;[&gt;=1000]\$0.0,&quot;K&quot;;0" sourceLinked="1"/>
        <c:majorTickMark val="none"/>
        <c:minorTickMark val="none"/>
        <c:tickLblPos val="nextTo"/>
        <c:crossAx val="171235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[MetroBank.xlsx]Sheet1!PivotTable29</c:name>
    <c:fmtId val="21"/>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dLbl>
          <c:idx val="0"/>
          <c:layout>
            <c:manualLayout>
              <c:x val="0.28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c:spPr>
        <c:dLbl>
          <c:idx val="0"/>
          <c:layout>
            <c:manualLayout>
              <c:x val="0.28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3"/>
            <a:stretch>
              <a:fillRect/>
            </a:stretch>
          </a:blipFill>
          <a:ln>
            <a:noFill/>
          </a:ln>
          <a:effectLst/>
        </c:spPr>
        <c:dLbl>
          <c:idx val="0"/>
          <c:layout>
            <c:manualLayout>
              <c:x val="0.3004217882072816"/>
              <c:y val="-7.2967647950442939E-1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blipFill>
            <a:blip xmlns:r="http://schemas.openxmlformats.org/officeDocument/2006/relationships" r:embed="rId3"/>
            <a:stretch>
              <a:fillRect/>
            </a:stretch>
          </a:blipFill>
          <a:ln>
            <a:noFill/>
          </a:ln>
          <a:effectLst/>
        </c:spPr>
        <c:dLbl>
          <c:idx val="0"/>
          <c:layout>
            <c:manualLayout>
              <c:x val="0.3004217882072816"/>
              <c:y val="-7.2967647950442939E-1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blipFill>
            <a:blip xmlns:r="http://schemas.openxmlformats.org/officeDocument/2006/relationships" r:embed="rId3"/>
            <a:stretch>
              <a:fillRect/>
            </a:stretch>
          </a:blipFill>
          <a:ln>
            <a:noFill/>
          </a:ln>
          <a:effectLst/>
        </c:spPr>
        <c:dLbl>
          <c:idx val="0"/>
          <c:layout>
            <c:manualLayout>
              <c:x val="0.34917224079362075"/>
              <c:y val="-4.6297645630117134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blipFill>
            <a:blip xmlns:r="http://schemas.openxmlformats.org/officeDocument/2006/relationships" r:embed="rId3"/>
            <a:stretch>
              <a:fillRect/>
            </a:stretch>
          </a:blipFill>
          <a:ln>
            <a:noFill/>
          </a:ln>
          <a:effectLst/>
        </c:spPr>
        <c:dLbl>
          <c:idx val="0"/>
          <c:layout>
            <c:manualLayout>
              <c:x val="0.34917224079362075"/>
              <c:y val="-4.6297645630117134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blipFill>
            <a:blip xmlns:r="http://schemas.openxmlformats.org/officeDocument/2006/relationships" r:embed="rId3"/>
            <a:stretch>
              <a:fillRect/>
            </a:stretch>
          </a:blipFill>
          <a:ln>
            <a:noFill/>
          </a:ln>
          <a:effectLst/>
        </c:spPr>
        <c:dLbl>
          <c:idx val="0"/>
          <c:layout>
            <c:manualLayout>
              <c:x val="0.37105258765731197"/>
              <c:y val="-8.6098640654993109E-3"/>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Sheet1!$H$79</c:f>
              <c:strCache>
                <c:ptCount val="1"/>
                <c:pt idx="0">
                  <c:v>Total</c:v>
                </c:pt>
              </c:strCache>
            </c:strRef>
          </c:tx>
          <c:spPr>
            <a:blipFill>
              <a:blip xmlns:r="http://schemas.openxmlformats.org/officeDocument/2006/relationships" r:embed="rId3"/>
              <a:stretch>
                <a:fillRect/>
              </a:stretch>
            </a:blipFill>
            <a:ln>
              <a:noFill/>
            </a:ln>
            <a:effectLst/>
          </c:spPr>
          <c:invertIfNegative val="0"/>
          <c:dPt>
            <c:idx val="0"/>
            <c:invertIfNegative val="0"/>
            <c:bubble3D val="0"/>
            <c:extLst>
              <c:ext xmlns:c16="http://schemas.microsoft.com/office/drawing/2014/chart" uri="{C3380CC4-5D6E-409C-BE32-E72D297353CC}">
                <c16:uniqueId val="{00000000-ED42-4C7E-9439-D564C9DC2C2A}"/>
              </c:ext>
            </c:extLst>
          </c:dPt>
          <c:dPt>
            <c:idx val="1"/>
            <c:invertIfNegative val="0"/>
            <c:bubble3D val="0"/>
            <c:extLst>
              <c:ext xmlns:c16="http://schemas.microsoft.com/office/drawing/2014/chart" uri="{C3380CC4-5D6E-409C-BE32-E72D297353CC}">
                <c16:uniqueId val="{00000001-ED42-4C7E-9439-D564C9DC2C2A}"/>
              </c:ext>
            </c:extLst>
          </c:dPt>
          <c:dPt>
            <c:idx val="2"/>
            <c:invertIfNegative val="0"/>
            <c:bubble3D val="0"/>
            <c:extLst>
              <c:ext xmlns:c16="http://schemas.microsoft.com/office/drawing/2014/chart" uri="{C3380CC4-5D6E-409C-BE32-E72D297353CC}">
                <c16:uniqueId val="{00000002-ED42-4C7E-9439-D564C9DC2C2A}"/>
              </c:ext>
            </c:extLst>
          </c:dPt>
          <c:dPt>
            <c:idx val="3"/>
            <c:invertIfNegative val="0"/>
            <c:bubble3D val="0"/>
            <c:extLst>
              <c:ext xmlns:c16="http://schemas.microsoft.com/office/drawing/2014/chart" uri="{C3380CC4-5D6E-409C-BE32-E72D297353CC}">
                <c16:uniqueId val="{00000003-ED42-4C7E-9439-D564C9DC2C2A}"/>
              </c:ext>
            </c:extLst>
          </c:dPt>
          <c:dPt>
            <c:idx val="4"/>
            <c:invertIfNegative val="0"/>
            <c:bubble3D val="0"/>
            <c:extLst>
              <c:ext xmlns:c16="http://schemas.microsoft.com/office/drawing/2014/chart" uri="{C3380CC4-5D6E-409C-BE32-E72D297353CC}">
                <c16:uniqueId val="{00000004-ED42-4C7E-9439-D564C9DC2C2A}"/>
              </c:ext>
            </c:extLst>
          </c:dPt>
          <c:dLbls>
            <c:dLbl>
              <c:idx val="0"/>
              <c:layout>
                <c:manualLayout>
                  <c:x val="0.313896798161473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42-4C7E-9439-D564C9DC2C2A}"/>
                </c:ext>
              </c:extLst>
            </c:dLbl>
            <c:dLbl>
              <c:idx val="1"/>
              <c:layout>
                <c:manualLayout>
                  <c:x val="0.3172317082019293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42-4C7E-9439-D564C9DC2C2A}"/>
                </c:ext>
              </c:extLst>
            </c:dLbl>
            <c:dLbl>
              <c:idx val="2"/>
              <c:layout>
                <c:manualLayout>
                  <c:x val="0.3434812947224191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42-4C7E-9439-D564C9DC2C2A}"/>
                </c:ext>
              </c:extLst>
            </c:dLbl>
            <c:dLbl>
              <c:idx val="3"/>
              <c:layout>
                <c:manualLayout>
                  <c:x val="0.37105258765731197"/>
                  <c:y val="-8.609864065499310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42-4C7E-9439-D564C9DC2C2A}"/>
                </c:ext>
              </c:extLst>
            </c:dLbl>
            <c:dLbl>
              <c:idx val="4"/>
              <c:layout>
                <c:manualLayout>
                  <c:x val="0.39148697280145683"/>
                  <c:y val="2.38805970149253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42-4C7E-9439-D564C9DC2C2A}"/>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Sheet1!$G$80:$G$85</c:f>
              <c:strCache>
                <c:ptCount val="5"/>
                <c:pt idx="0">
                  <c:v>North Daniel</c:v>
                </c:pt>
                <c:pt idx="1">
                  <c:v>Robertaport</c:v>
                </c:pt>
                <c:pt idx="2">
                  <c:v>Caldwellburgh</c:v>
                </c:pt>
                <c:pt idx="3">
                  <c:v>Michaeltown</c:v>
                </c:pt>
                <c:pt idx="4">
                  <c:v>Lisaville</c:v>
                </c:pt>
              </c:strCache>
            </c:strRef>
          </c:cat>
          <c:val>
            <c:numRef>
              <c:f>Sheet1!$H$80:$H$85</c:f>
              <c:numCache>
                <c:formatCode>[&gt;=1000000]\$0.0,,"M";[&gt;=1000]\$0.0,"K";0</c:formatCode>
                <c:ptCount val="5"/>
                <c:pt idx="0">
                  <c:v>3031719</c:v>
                </c:pt>
                <c:pt idx="1">
                  <c:v>3069907</c:v>
                </c:pt>
                <c:pt idx="2">
                  <c:v>3378768</c:v>
                </c:pt>
                <c:pt idx="3">
                  <c:v>3559601</c:v>
                </c:pt>
                <c:pt idx="4">
                  <c:v>4203646</c:v>
                </c:pt>
              </c:numCache>
            </c:numRef>
          </c:val>
          <c:extLst>
            <c:ext xmlns:c16="http://schemas.microsoft.com/office/drawing/2014/chart" uri="{C3380CC4-5D6E-409C-BE32-E72D297353CC}">
              <c16:uniqueId val="{00000005-ED42-4C7E-9439-D564C9DC2C2A}"/>
            </c:ext>
          </c:extLst>
        </c:ser>
        <c:dLbls>
          <c:showLegendKey val="0"/>
          <c:showVal val="0"/>
          <c:showCatName val="0"/>
          <c:showSerName val="0"/>
          <c:showPercent val="0"/>
          <c:showBubbleSize val="0"/>
        </c:dLbls>
        <c:gapWidth val="150"/>
        <c:overlap val="100"/>
        <c:axId val="546567759"/>
        <c:axId val="546570159"/>
      </c:barChart>
      <c:catAx>
        <c:axId val="5465677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NG"/>
          </a:p>
        </c:txPr>
        <c:crossAx val="546570159"/>
        <c:crosses val="autoZero"/>
        <c:auto val="1"/>
        <c:lblAlgn val="ctr"/>
        <c:lblOffset val="100"/>
        <c:noMultiLvlLbl val="0"/>
      </c:catAx>
      <c:valAx>
        <c:axId val="546570159"/>
        <c:scaling>
          <c:orientation val="minMax"/>
        </c:scaling>
        <c:delete val="1"/>
        <c:axPos val="b"/>
        <c:numFmt formatCode="[&gt;=1000000]\$0.0,,&quot;M&quot;;[&gt;=1000]\$0.0,&quot;K&quot;;0" sourceLinked="1"/>
        <c:majorTickMark val="none"/>
        <c:minorTickMark val="none"/>
        <c:tickLblPos val="nextTo"/>
        <c:crossAx val="5465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12"/>
            <c:spPr>
              <a:solidFill>
                <a:schemeClr val="accent1"/>
              </a:solidFill>
              <a:ln w="9525">
                <a:solidFill>
                  <a:schemeClr val="accent1"/>
                </a:solidFill>
              </a:ln>
              <a:effectLst/>
            </c:spPr>
          </c:marker>
          <c:trendline>
            <c:spPr>
              <a:ln w="44450" cap="rnd">
                <a:solidFill>
                  <a:schemeClr val="accent1"/>
                </a:solidFill>
                <a:prstDash val="sysDot"/>
              </a:ln>
              <a:effectLst/>
            </c:spPr>
            <c:trendlineType val="poly"/>
            <c:order val="2"/>
            <c:dispRSqr val="0"/>
            <c:dispEq val="0"/>
          </c:trendline>
          <c:xVal>
            <c:numRef>
              <c:f>Sheet1!$R$88:$R$107</c:f>
              <c:numCache>
                <c:formatCode>[&gt;=1000000]\$0.0,,"M";[&gt;=1000]\$0.0,"K";0</c:formatCode>
                <c:ptCount val="20"/>
                <c:pt idx="0">
                  <c:v>133</c:v>
                </c:pt>
                <c:pt idx="1">
                  <c:v>18</c:v>
                </c:pt>
                <c:pt idx="2">
                  <c:v>62</c:v>
                </c:pt>
                <c:pt idx="3">
                  <c:v>101</c:v>
                </c:pt>
                <c:pt idx="4">
                  <c:v>42</c:v>
                </c:pt>
                <c:pt idx="5">
                  <c:v>193</c:v>
                </c:pt>
                <c:pt idx="6">
                  <c:v>35</c:v>
                </c:pt>
                <c:pt idx="7">
                  <c:v>135</c:v>
                </c:pt>
                <c:pt idx="8">
                  <c:v>140</c:v>
                </c:pt>
                <c:pt idx="9">
                  <c:v>197</c:v>
                </c:pt>
                <c:pt idx="10">
                  <c:v>85</c:v>
                </c:pt>
                <c:pt idx="11">
                  <c:v>78</c:v>
                </c:pt>
                <c:pt idx="12">
                  <c:v>136</c:v>
                </c:pt>
                <c:pt idx="13">
                  <c:v>162</c:v>
                </c:pt>
                <c:pt idx="14">
                  <c:v>23</c:v>
                </c:pt>
                <c:pt idx="15">
                  <c:v>52</c:v>
                </c:pt>
                <c:pt idx="16">
                  <c:v>115</c:v>
                </c:pt>
                <c:pt idx="17">
                  <c:v>46</c:v>
                </c:pt>
                <c:pt idx="18">
                  <c:v>113</c:v>
                </c:pt>
                <c:pt idx="19">
                  <c:v>85</c:v>
                </c:pt>
              </c:numCache>
            </c:numRef>
          </c:xVal>
          <c:yVal>
            <c:numRef>
              <c:f>Sheet1!$S$88:$S$107</c:f>
              <c:numCache>
                <c:formatCode>[&gt;=1000000]\$0.0,,"M";[&gt;=1000]\$0.0,"K";0</c:formatCode>
                <c:ptCount val="20"/>
                <c:pt idx="0">
                  <c:v>10594.751879699248</c:v>
                </c:pt>
                <c:pt idx="1">
                  <c:v>198379.33333333334</c:v>
                </c:pt>
                <c:pt idx="2">
                  <c:v>29385.774193548386</c:v>
                </c:pt>
                <c:pt idx="3">
                  <c:v>9440.5247524752467</c:v>
                </c:pt>
                <c:pt idx="4">
                  <c:v>113815.28571428571</c:v>
                </c:pt>
                <c:pt idx="5">
                  <c:v>7172.7823834196888</c:v>
                </c:pt>
                <c:pt idx="6">
                  <c:v>55662.171428571426</c:v>
                </c:pt>
                <c:pt idx="7">
                  <c:v>33699.80740740741</c:v>
                </c:pt>
                <c:pt idx="8">
                  <c:v>31665.407142857144</c:v>
                </c:pt>
                <c:pt idx="9">
                  <c:v>22070.467005076142</c:v>
                </c:pt>
                <c:pt idx="10">
                  <c:v>56944.50588235294</c:v>
                </c:pt>
                <c:pt idx="11">
                  <c:v>41981.243589743586</c:v>
                </c:pt>
                <c:pt idx="12">
                  <c:v>17748.286764705881</c:v>
                </c:pt>
                <c:pt idx="13">
                  <c:v>28247.858024691359</c:v>
                </c:pt>
                <c:pt idx="14">
                  <c:v>187736.30434782608</c:v>
                </c:pt>
                <c:pt idx="15">
                  <c:v>20948.557692307691</c:v>
                </c:pt>
                <c:pt idx="16">
                  <c:v>29892.53043478261</c:v>
                </c:pt>
                <c:pt idx="17">
                  <c:v>92231</c:v>
                </c:pt>
                <c:pt idx="18">
                  <c:v>9518.5221238938047</c:v>
                </c:pt>
                <c:pt idx="19">
                  <c:v>11238.129411764707</c:v>
                </c:pt>
              </c:numCache>
            </c:numRef>
          </c:yVal>
          <c:smooth val="0"/>
          <c:extLst>
            <c:ext xmlns:c16="http://schemas.microsoft.com/office/drawing/2014/chart" uri="{C3380CC4-5D6E-409C-BE32-E72D297353CC}">
              <c16:uniqueId val="{00000001-5399-444D-BD37-18519FBD3871}"/>
            </c:ext>
          </c:extLst>
        </c:ser>
        <c:dLbls>
          <c:showLegendKey val="0"/>
          <c:showVal val="0"/>
          <c:showCatName val="0"/>
          <c:showSerName val="0"/>
          <c:showPercent val="0"/>
          <c:showBubbleSize val="0"/>
        </c:dLbls>
        <c:axId val="1535479903"/>
        <c:axId val="1535495743"/>
      </c:scatterChart>
      <c:valAx>
        <c:axId val="1535479903"/>
        <c:scaling>
          <c:orientation val="minMax"/>
        </c:scaling>
        <c:delete val="0"/>
        <c:axPos val="b"/>
        <c:majorGridlines>
          <c:spPr>
            <a:ln w="9525" cap="flat" cmpd="sng" algn="ctr">
              <a:solidFill>
                <a:schemeClr val="tx1">
                  <a:lumMod val="65000"/>
                  <a:lumOff val="35000"/>
                  <a:alpha val="71000"/>
                </a:schemeClr>
              </a:solidFill>
              <a:round/>
            </a:ln>
            <a:effectLst/>
          </c:spPr>
        </c:majorGridlines>
        <c:numFmt formatCode="[&gt;=1000000]\$0.0,,&quot;M&quot;;[&gt;=10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535495743"/>
        <c:crosses val="autoZero"/>
        <c:crossBetween val="midCat"/>
      </c:valAx>
      <c:valAx>
        <c:axId val="1535495743"/>
        <c:scaling>
          <c:orientation val="minMax"/>
        </c:scaling>
        <c:delete val="0"/>
        <c:axPos val="l"/>
        <c:majorGridlines>
          <c:spPr>
            <a:ln w="9525" cap="flat" cmpd="sng" algn="ctr">
              <a:solidFill>
                <a:schemeClr val="tx1">
                  <a:lumMod val="65000"/>
                  <a:lumOff val="35000"/>
                  <a:alpha val="94000"/>
                </a:schemeClr>
              </a:solidFill>
              <a:round/>
            </a:ln>
            <a:effectLst/>
          </c:spPr>
        </c:majorGridlines>
        <c:numFmt formatCode="[&gt;=1000000]\$0.0,,&quot;M&quot;;[&gt;=1000]\$0.0,&quot;K&quot;;0" sourceLinked="1"/>
        <c:majorTickMark val="none"/>
        <c:minorTickMark val="none"/>
        <c:tickLblPos val="nextTo"/>
        <c:spPr>
          <a:solidFill>
            <a:srgbClr val="DAEAEA"/>
          </a:solid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NG"/>
          </a:p>
        </c:txPr>
        <c:crossAx val="153547990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[MetroBank.xlsx]Sheet1!PivotTable32</c:name>
    <c:fmtId val="8"/>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w="19050">
            <a:noFill/>
          </a:ln>
          <a:effectLst/>
        </c:spPr>
      </c:pivotFmt>
      <c:pivotFmt>
        <c:idx val="2"/>
        <c:spPr>
          <a:solidFill>
            <a:schemeClr val="tx2">
              <a:lumMod val="50000"/>
              <a:lumOff val="50000"/>
            </a:schemeClr>
          </a:solidFill>
          <a:ln w="19050">
            <a:noFill/>
          </a:ln>
          <a:effectLst/>
        </c:spPr>
      </c:pivotFmt>
      <c:pivotFmt>
        <c:idx val="3"/>
        <c:spPr>
          <a:solidFill>
            <a:schemeClr val="accent1">
              <a:lumMod val="20000"/>
              <a:lumOff val="8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tx1">
              <a:lumMod val="85000"/>
              <a:lumOff val="15000"/>
            </a:schemeClr>
          </a:solidFill>
          <a:ln w="19050">
            <a:noFill/>
          </a:ln>
          <a:effectLst/>
        </c:spPr>
      </c:pivotFmt>
      <c:pivotFmt>
        <c:idx val="7"/>
        <c:spPr>
          <a:solidFill>
            <a:schemeClr val="tx2">
              <a:lumMod val="50000"/>
              <a:lumOff val="50000"/>
            </a:schemeClr>
          </a:solidFill>
          <a:ln w="19050">
            <a:noFill/>
          </a:ln>
          <a:effectLst/>
        </c:spPr>
      </c:pivotFmt>
      <c:pivotFmt>
        <c:idx val="8"/>
        <c:spPr>
          <a:solidFill>
            <a:schemeClr val="accent1">
              <a:lumMod val="20000"/>
              <a:lumOff val="80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tx1">
              <a:lumMod val="85000"/>
              <a:lumOff val="15000"/>
            </a:schemeClr>
          </a:solidFill>
          <a:ln w="19050">
            <a:noFill/>
          </a:ln>
          <a:effectLst/>
        </c:spPr>
      </c:pivotFmt>
      <c:pivotFmt>
        <c:idx val="12"/>
        <c:spPr>
          <a:solidFill>
            <a:schemeClr val="tx2">
              <a:lumMod val="50000"/>
              <a:lumOff val="50000"/>
            </a:schemeClr>
          </a:solidFill>
          <a:ln w="19050">
            <a:noFill/>
          </a:ln>
          <a:effectLst/>
        </c:spPr>
      </c:pivotFmt>
      <c:pivotFmt>
        <c:idx val="13"/>
        <c:spPr>
          <a:solidFill>
            <a:schemeClr val="accent1">
              <a:lumMod val="20000"/>
              <a:lumOff val="80000"/>
            </a:schemeClr>
          </a:solidFill>
          <a:ln w="19050">
            <a:noFill/>
          </a:ln>
          <a:effectLst/>
        </c:spPr>
      </c:pivotFmt>
    </c:pivotFmts>
    <c:plotArea>
      <c:layout/>
      <c:doughnutChart>
        <c:varyColors val="1"/>
        <c:ser>
          <c:idx val="0"/>
          <c:order val="0"/>
          <c:tx>
            <c:strRef>
              <c:f>Sheet1!$N$79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901-40C5-B711-4961664B17E1}"/>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03-0901-40C5-B711-4961664B17E1}"/>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0901-40C5-B711-4961664B17E1}"/>
              </c:ext>
            </c:extLst>
          </c:dPt>
          <c:dPt>
            <c:idx val="3"/>
            <c:bubble3D val="0"/>
            <c:spPr>
              <a:solidFill>
                <a:schemeClr val="accent1">
                  <a:lumMod val="20000"/>
                  <a:lumOff val="80000"/>
                </a:schemeClr>
              </a:solidFill>
              <a:ln w="19050">
                <a:noFill/>
              </a:ln>
              <a:effectLst/>
            </c:spPr>
            <c:extLst>
              <c:ext xmlns:c16="http://schemas.microsoft.com/office/drawing/2014/chart" uri="{C3380CC4-5D6E-409C-BE32-E72D297353CC}">
                <c16:uniqueId val="{00000007-0901-40C5-B711-4961664B17E1}"/>
              </c:ext>
            </c:extLst>
          </c:dPt>
          <c:cat>
            <c:strRef>
              <c:f>Sheet1!$M$80:$M$84</c:f>
              <c:strCache>
                <c:ptCount val="4"/>
                <c:pt idx="0">
                  <c:v>South</c:v>
                </c:pt>
                <c:pt idx="1">
                  <c:v>West</c:v>
                </c:pt>
                <c:pt idx="2">
                  <c:v>North</c:v>
                </c:pt>
                <c:pt idx="3">
                  <c:v>East</c:v>
                </c:pt>
              </c:strCache>
            </c:strRef>
          </c:cat>
          <c:val>
            <c:numRef>
              <c:f>Sheet1!$N$80:$N$84</c:f>
              <c:numCache>
                <c:formatCode>[&gt;=1000000]\$0.0,,"M";[&gt;=1000]\$0.0,"K";0</c:formatCode>
                <c:ptCount val="4"/>
                <c:pt idx="0">
                  <c:v>14787236</c:v>
                </c:pt>
                <c:pt idx="1">
                  <c:v>9473157</c:v>
                </c:pt>
                <c:pt idx="2">
                  <c:v>8839494</c:v>
                </c:pt>
                <c:pt idx="3">
                  <c:v>5154385</c:v>
                </c:pt>
              </c:numCache>
            </c:numRef>
          </c:val>
          <c:extLst>
            <c:ext xmlns:c16="http://schemas.microsoft.com/office/drawing/2014/chart" uri="{C3380CC4-5D6E-409C-BE32-E72D297353CC}">
              <c16:uniqueId val="{00000008-0901-40C5-B711-4961664B17E1}"/>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[MetroBank.xlsx]Sheet1!PivotTable31</c:name>
    <c:fmtId val="16"/>
  </c:pivotSource>
  <c:chart>
    <c:autoTitleDeleted val="1"/>
    <c:pivotFmts>
      <c:pivotFmt>
        <c:idx val="0"/>
        <c:spPr>
          <a:solidFill>
            <a:schemeClr val="accent1"/>
          </a:solidFill>
          <a:ln w="28575" cap="rnd">
            <a:solidFill>
              <a:srgbClr val="050C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50C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730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Sheet1!$T$1</c:f>
              <c:strCache>
                <c:ptCount val="1"/>
                <c:pt idx="0">
                  <c:v>Total</c:v>
                </c:pt>
              </c:strCache>
            </c:strRef>
          </c:tx>
          <c:spPr>
            <a:ln w="73025" cap="rnd">
              <a:solidFill>
                <a:schemeClr val="bg1">
                  <a:lumMod val="95000"/>
                </a:schemeClr>
              </a:solidFill>
              <a:round/>
            </a:ln>
            <a:effectLst/>
          </c:spPr>
          <c:marker>
            <c:symbol val="none"/>
          </c:marker>
          <c:cat>
            <c:strRef>
              <c:f>Sheet1!$S$2:$S$14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Sheet1!$T$2:$T$14</c:f>
              <c:numCache>
                <c:formatCode>0</c:formatCode>
                <c:ptCount val="12"/>
                <c:pt idx="0">
                  <c:v>69</c:v>
                </c:pt>
                <c:pt idx="1">
                  <c:v>54</c:v>
                </c:pt>
                <c:pt idx="2">
                  <c:v>67</c:v>
                </c:pt>
                <c:pt idx="3">
                  <c:v>70</c:v>
                </c:pt>
                <c:pt idx="4">
                  <c:v>77</c:v>
                </c:pt>
                <c:pt idx="5">
                  <c:v>63</c:v>
                </c:pt>
                <c:pt idx="6">
                  <c:v>74</c:v>
                </c:pt>
                <c:pt idx="7">
                  <c:v>66</c:v>
                </c:pt>
                <c:pt idx="8">
                  <c:v>59</c:v>
                </c:pt>
                <c:pt idx="9">
                  <c:v>71</c:v>
                </c:pt>
                <c:pt idx="10">
                  <c:v>67</c:v>
                </c:pt>
                <c:pt idx="11">
                  <c:v>63</c:v>
                </c:pt>
              </c:numCache>
            </c:numRef>
          </c:val>
          <c:smooth val="0"/>
          <c:extLst>
            <c:ext xmlns:c16="http://schemas.microsoft.com/office/drawing/2014/chart" uri="{C3380CC4-5D6E-409C-BE32-E72D297353CC}">
              <c16:uniqueId val="{00000000-8228-4CFF-9859-47692C4716B8}"/>
            </c:ext>
          </c:extLst>
        </c:ser>
        <c:dLbls>
          <c:showLegendKey val="0"/>
          <c:showVal val="0"/>
          <c:showCatName val="0"/>
          <c:showSerName val="0"/>
          <c:showPercent val="0"/>
          <c:showBubbleSize val="0"/>
        </c:dLbls>
        <c:smooth val="0"/>
        <c:axId val="76533055"/>
        <c:axId val="76531615"/>
      </c:lineChart>
      <c:catAx>
        <c:axId val="765330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NG"/>
          </a:p>
        </c:txPr>
        <c:crossAx val="76531615"/>
        <c:crosses val="autoZero"/>
        <c:auto val="1"/>
        <c:lblAlgn val="ctr"/>
        <c:lblOffset val="100"/>
        <c:noMultiLvlLbl val="0"/>
      </c:catAx>
      <c:valAx>
        <c:axId val="76531615"/>
        <c:scaling>
          <c:orientation val="minMax"/>
        </c:scaling>
        <c:delete val="1"/>
        <c:axPos val="l"/>
        <c:numFmt formatCode="0" sourceLinked="1"/>
        <c:majorTickMark val="none"/>
        <c:minorTickMark val="none"/>
        <c:tickLblPos val="nextTo"/>
        <c:crossAx val="7653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[MetroBank.xlsx]Sheet1!PivotTable41</c:name>
    <c:fmtId val="1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a:solidFill>
              <a:schemeClr val="lt1"/>
            </a:solidFill>
          </a:ln>
          <a:effectLst/>
        </c:spPr>
      </c:pivotFmt>
      <c:pivotFmt>
        <c:idx val="2"/>
        <c:spPr>
          <a:solidFill>
            <a:schemeClr val="accent1"/>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bg1">
              <a:lumMod val="85000"/>
            </a:schemeClr>
          </a:solidFill>
          <a:ln w="19050">
            <a:noFill/>
          </a:ln>
          <a:effectLst/>
        </c:spPr>
      </c:pivotFmt>
    </c:pivotFmts>
    <c:plotArea>
      <c:layout/>
      <c:doughnutChart>
        <c:varyColors val="1"/>
        <c:ser>
          <c:idx val="0"/>
          <c:order val="0"/>
          <c:tx>
            <c:strRef>
              <c:f>Sheet1!$AO$5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104-4C3E-B2DA-5959B662ED9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104-4C3E-B2DA-5959B662ED9B}"/>
              </c:ext>
            </c:extLst>
          </c:dPt>
          <c:cat>
            <c:strRef>
              <c:f>Sheet1!$AN$6:$AN$8</c:f>
              <c:strCache>
                <c:ptCount val="2"/>
                <c:pt idx="0">
                  <c:v>Resolved</c:v>
                </c:pt>
                <c:pt idx="1">
                  <c:v>Unresolved</c:v>
                </c:pt>
              </c:strCache>
            </c:strRef>
          </c:cat>
          <c:val>
            <c:numRef>
              <c:f>Sheet1!$AO$6:$AO$8</c:f>
              <c:numCache>
                <c:formatCode>0</c:formatCode>
                <c:ptCount val="2"/>
                <c:pt idx="0">
                  <c:v>471</c:v>
                </c:pt>
                <c:pt idx="1">
                  <c:v>329</c:v>
                </c:pt>
              </c:numCache>
            </c:numRef>
          </c:val>
          <c:extLst>
            <c:ext xmlns:c16="http://schemas.microsoft.com/office/drawing/2014/chart" uri="{C3380CC4-5D6E-409C-BE32-E72D297353CC}">
              <c16:uniqueId val="{00000004-0104-4C3E-B2DA-5959B662ED9B}"/>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[MetroBank.xlsx]Sheet1!PivotTable42</c:name>
    <c:fmtId val="21"/>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Sheet1!$AR$5</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Sheet1!$AQ$6:$AQ$11</c:f>
              <c:strCache>
                <c:ptCount val="5"/>
                <c:pt idx="0">
                  <c:v>Charges Dispute</c:v>
                </c:pt>
                <c:pt idx="1">
                  <c:v>Fraud</c:v>
                </c:pt>
                <c:pt idx="2">
                  <c:v>Others</c:v>
                </c:pt>
                <c:pt idx="3">
                  <c:v>Service Delay</c:v>
                </c:pt>
                <c:pt idx="4">
                  <c:v>Technical Issue</c:v>
                </c:pt>
              </c:strCache>
            </c:strRef>
          </c:cat>
          <c:val>
            <c:numRef>
              <c:f>Sheet1!$AR$6:$AR$11</c:f>
              <c:numCache>
                <c:formatCode>0</c:formatCode>
                <c:ptCount val="5"/>
                <c:pt idx="0">
                  <c:v>184</c:v>
                </c:pt>
                <c:pt idx="1">
                  <c:v>142</c:v>
                </c:pt>
                <c:pt idx="2">
                  <c:v>167</c:v>
                </c:pt>
                <c:pt idx="3">
                  <c:v>159</c:v>
                </c:pt>
                <c:pt idx="4">
                  <c:v>148</c:v>
                </c:pt>
              </c:numCache>
            </c:numRef>
          </c:val>
          <c:extLst>
            <c:ext xmlns:c16="http://schemas.microsoft.com/office/drawing/2014/chart" uri="{C3380CC4-5D6E-409C-BE32-E72D297353CC}">
              <c16:uniqueId val="{00000000-21AC-4639-AD50-B7F890F601A6}"/>
            </c:ext>
          </c:extLst>
        </c:ser>
        <c:dLbls>
          <c:dLblPos val="outEnd"/>
          <c:showLegendKey val="0"/>
          <c:showVal val="1"/>
          <c:showCatName val="0"/>
          <c:showSerName val="0"/>
          <c:showPercent val="0"/>
          <c:showBubbleSize val="0"/>
        </c:dLbls>
        <c:gapWidth val="158"/>
        <c:overlap val="-27"/>
        <c:axId val="1003267919"/>
        <c:axId val="1003263599"/>
      </c:barChart>
      <c:catAx>
        <c:axId val="10032679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crossAx val="1003263599"/>
        <c:crosses val="autoZero"/>
        <c:auto val="1"/>
        <c:lblAlgn val="ctr"/>
        <c:lblOffset val="100"/>
        <c:noMultiLvlLbl val="0"/>
      </c:catAx>
      <c:valAx>
        <c:axId val="1003263599"/>
        <c:scaling>
          <c:orientation val="minMax"/>
        </c:scaling>
        <c:delete val="1"/>
        <c:axPos val="l"/>
        <c:numFmt formatCode="0" sourceLinked="1"/>
        <c:majorTickMark val="none"/>
        <c:minorTickMark val="none"/>
        <c:tickLblPos val="nextTo"/>
        <c:crossAx val="100326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[MetroBank.xlsx]Sheet1!PivotTable43</c:name>
    <c:fmtId val="15"/>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Sheet1!$AU$5</c:f>
              <c:strCache>
                <c:ptCount val="1"/>
                <c:pt idx="0">
                  <c:v>Total</c:v>
                </c:pt>
              </c:strCache>
            </c:strRef>
          </c:tx>
          <c:spPr>
            <a:blipFill>
              <a:blip xmlns:r="http://schemas.openxmlformats.org/officeDocument/2006/relationships" r:embed="rId3"/>
              <a:stretch>
                <a:fillRect/>
              </a:stretch>
            </a:blipFill>
            <a:ln>
              <a:noFill/>
            </a:ln>
            <a:effectLst/>
          </c:spPr>
          <c:invertIfNegative val="0"/>
          <c:cat>
            <c:strRef>
              <c:f>Sheet1!$AT$6:$AT$11</c:f>
              <c:strCache>
                <c:ptCount val="5"/>
                <c:pt idx="0">
                  <c:v>Fraud</c:v>
                </c:pt>
                <c:pt idx="1">
                  <c:v>Service Delay</c:v>
                </c:pt>
                <c:pt idx="2">
                  <c:v>Charges Dispute</c:v>
                </c:pt>
                <c:pt idx="3">
                  <c:v>Technical Issue</c:v>
                </c:pt>
                <c:pt idx="4">
                  <c:v>Others</c:v>
                </c:pt>
              </c:strCache>
            </c:strRef>
          </c:cat>
          <c:val>
            <c:numRef>
              <c:f>Sheet1!$AU$6:$AU$11</c:f>
              <c:numCache>
                <c:formatCode>0</c:formatCode>
                <c:ptCount val="5"/>
                <c:pt idx="0">
                  <c:v>28.93661971830986</c:v>
                </c:pt>
                <c:pt idx="1">
                  <c:v>30.50314465408805</c:v>
                </c:pt>
                <c:pt idx="2">
                  <c:v>31.206521739130434</c:v>
                </c:pt>
                <c:pt idx="3">
                  <c:v>31.351351351351351</c:v>
                </c:pt>
                <c:pt idx="4">
                  <c:v>31.54491017964072</c:v>
                </c:pt>
              </c:numCache>
            </c:numRef>
          </c:val>
          <c:extLst>
            <c:ext xmlns:c16="http://schemas.microsoft.com/office/drawing/2014/chart" uri="{C3380CC4-5D6E-409C-BE32-E72D297353CC}">
              <c16:uniqueId val="{00000000-E7D5-425A-8905-BF5BEBBD5BC4}"/>
            </c:ext>
          </c:extLst>
        </c:ser>
        <c:dLbls>
          <c:showLegendKey val="0"/>
          <c:showVal val="0"/>
          <c:showCatName val="0"/>
          <c:showSerName val="0"/>
          <c:showPercent val="0"/>
          <c:showBubbleSize val="0"/>
        </c:dLbls>
        <c:gapWidth val="136"/>
        <c:axId val="1003241999"/>
        <c:axId val="1003243439"/>
      </c:barChart>
      <c:catAx>
        <c:axId val="10032419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003243439"/>
        <c:crosses val="autoZero"/>
        <c:auto val="1"/>
        <c:lblAlgn val="ctr"/>
        <c:lblOffset val="100"/>
        <c:noMultiLvlLbl val="0"/>
      </c:catAx>
      <c:valAx>
        <c:axId val="1003243439"/>
        <c:scaling>
          <c:orientation val="minMax"/>
        </c:scaling>
        <c:delete val="1"/>
        <c:axPos val="b"/>
        <c:numFmt formatCode="0" sourceLinked="1"/>
        <c:majorTickMark val="none"/>
        <c:minorTickMark val="none"/>
        <c:tickLblPos val="nextTo"/>
        <c:crossAx val="100324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17.jpeg"/><Relationship Id="rId5" Type="http://schemas.openxmlformats.org/officeDocument/2006/relationships/chart" Target="../charts/chart16.xml"/><Relationship Id="rId10" Type="http://schemas.openxmlformats.org/officeDocument/2006/relationships/image" Target="../media/image16.png"/><Relationship Id="rId4" Type="http://schemas.openxmlformats.org/officeDocument/2006/relationships/chart" Target="../charts/chart15.xml"/><Relationship Id="rId9" Type="http://schemas.openxmlformats.org/officeDocument/2006/relationships/image" Target="../media/image15.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5.png"/><Relationship Id="rId18" Type="http://schemas.openxmlformats.org/officeDocument/2006/relationships/image" Target="../media/image26.svg"/><Relationship Id="rId3" Type="http://schemas.openxmlformats.org/officeDocument/2006/relationships/image" Target="../media/image3.png"/><Relationship Id="rId7" Type="http://schemas.openxmlformats.org/officeDocument/2006/relationships/chart" Target="../charts/chart21.xml"/><Relationship Id="rId12" Type="http://schemas.openxmlformats.org/officeDocument/2006/relationships/image" Target="../media/image21.jpeg"/><Relationship Id="rId17" Type="http://schemas.openxmlformats.org/officeDocument/2006/relationships/image" Target="../media/image25.png"/><Relationship Id="rId2" Type="http://schemas.microsoft.com/office/2007/relationships/hdphoto" Target="../media/hdphoto1.wdp"/><Relationship Id="rId16" Type="http://schemas.openxmlformats.org/officeDocument/2006/relationships/image" Target="../media/image24.svg"/><Relationship Id="rId1" Type="http://schemas.openxmlformats.org/officeDocument/2006/relationships/image" Target="../media/image18.png"/><Relationship Id="rId6" Type="http://schemas.openxmlformats.org/officeDocument/2006/relationships/chart" Target="../charts/chart20.xml"/><Relationship Id="rId11" Type="http://schemas.openxmlformats.org/officeDocument/2006/relationships/chart" Target="../charts/chart22.xml"/><Relationship Id="rId5" Type="http://schemas.openxmlformats.org/officeDocument/2006/relationships/chart" Target="../charts/chart19.xml"/><Relationship Id="rId15" Type="http://schemas.openxmlformats.org/officeDocument/2006/relationships/image" Target="../media/image23.png"/><Relationship Id="rId10" Type="http://schemas.openxmlformats.org/officeDocument/2006/relationships/image" Target="../media/image14.png"/><Relationship Id="rId4" Type="http://schemas.openxmlformats.org/officeDocument/2006/relationships/image" Target="../media/image19.png"/><Relationship Id="rId9" Type="http://schemas.openxmlformats.org/officeDocument/2006/relationships/image" Target="../media/image15.png"/><Relationship Id="rId14" Type="http://schemas.openxmlformats.org/officeDocument/2006/relationships/image" Target="../media/image22.png"/></Relationships>
</file>

<file path=xl/drawings/_rels/drawing9.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1.png"/><Relationship Id="rId3" Type="http://schemas.openxmlformats.org/officeDocument/2006/relationships/chart" Target="../charts/chart25.xml"/><Relationship Id="rId7" Type="http://schemas.openxmlformats.org/officeDocument/2006/relationships/image" Target="../media/image31.png"/><Relationship Id="rId12" Type="http://schemas.openxmlformats.org/officeDocument/2006/relationships/image" Target="../media/image33.png"/><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image" Target="../media/image30.png"/><Relationship Id="rId11" Type="http://schemas.openxmlformats.org/officeDocument/2006/relationships/image" Target="../media/image32.png"/><Relationship Id="rId5" Type="http://schemas.openxmlformats.org/officeDocument/2006/relationships/image" Target="../media/image29.png"/><Relationship Id="rId10" Type="http://schemas.openxmlformats.org/officeDocument/2006/relationships/image" Target="../media/image14.png"/><Relationship Id="rId4" Type="http://schemas.openxmlformats.org/officeDocument/2006/relationships/chart" Target="../charts/chart26.xml"/><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5</xdr:col>
      <xdr:colOff>504033</xdr:colOff>
      <xdr:row>20</xdr:row>
      <xdr:rowOff>3972</xdr:rowOff>
    </xdr:from>
    <xdr:to>
      <xdr:col>7</xdr:col>
      <xdr:colOff>670720</xdr:colOff>
      <xdr:row>20</xdr:row>
      <xdr:rowOff>103191</xdr:rowOff>
    </xdr:to>
    <xdr:sp macro="" textlink="">
      <xdr:nvSpPr>
        <xdr:cNvPr id="3" name="Rectangle: Top Corners Rounded 2">
          <a:extLst>
            <a:ext uri="{FF2B5EF4-FFF2-40B4-BE49-F238E27FC236}">
              <a16:creationId xmlns:a16="http://schemas.microsoft.com/office/drawing/2014/main" id="{85C528E7-C647-70DE-7375-68EBCF694153}"/>
            </a:ext>
          </a:extLst>
        </xdr:cNvPr>
        <xdr:cNvSpPr/>
      </xdr:nvSpPr>
      <xdr:spPr>
        <a:xfrm rot="5400000">
          <a:off x="5963048" y="2982520"/>
          <a:ext cx="99219" cy="1762124"/>
        </a:xfrm>
        <a:prstGeom prst="round2SameRect">
          <a:avLst>
            <a:gd name="adj1" fmla="val 50000"/>
            <a:gd name="adj2" fmla="val 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xdr:col>
      <xdr:colOff>527050</xdr:colOff>
      <xdr:row>6</xdr:row>
      <xdr:rowOff>62593</xdr:rowOff>
    </xdr:from>
    <xdr:to>
      <xdr:col>5</xdr:col>
      <xdr:colOff>651490</xdr:colOff>
      <xdr:row>20</xdr:row>
      <xdr:rowOff>30843</xdr:rowOff>
    </xdr:to>
    <mc:AlternateContent xmlns:mc="http://schemas.openxmlformats.org/markup-compatibility/2006" xmlns:a14="http://schemas.microsoft.com/office/drawing/2010/main">
      <mc:Choice Requires="a14">
        <xdr:graphicFrame macro="">
          <xdr:nvGraphicFramePr>
            <xdr:cNvPr id="2" name="Customer_Segment">
              <a:extLst>
                <a:ext uri="{FF2B5EF4-FFF2-40B4-BE49-F238E27FC236}">
                  <a16:creationId xmlns:a16="http://schemas.microsoft.com/office/drawing/2014/main" id="{73D3E6E4-5DE5-E9AA-BAB4-9217ACA7048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4677229" y="121920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1375171</xdr:colOff>
      <xdr:row>33</xdr:row>
      <xdr:rowOff>136921</xdr:rowOff>
    </xdr:from>
    <xdr:to>
      <xdr:col>15</xdr:col>
      <xdr:colOff>422671</xdr:colOff>
      <xdr:row>34</xdr:row>
      <xdr:rowOff>148829</xdr:rowOff>
    </xdr:to>
    <xdr:sp macro="" textlink="">
      <xdr:nvSpPr>
        <xdr:cNvPr id="9" name="Rectangle: Top Corners Rounded 8">
          <a:extLst>
            <a:ext uri="{FF2B5EF4-FFF2-40B4-BE49-F238E27FC236}">
              <a16:creationId xmlns:a16="http://schemas.microsoft.com/office/drawing/2014/main" id="{4241AB59-883C-DAD4-3F0A-51768CAE4353}"/>
            </a:ext>
          </a:extLst>
        </xdr:cNvPr>
        <xdr:cNvSpPr/>
      </xdr:nvSpPr>
      <xdr:spPr>
        <a:xfrm rot="5400000">
          <a:off x="13930311" y="5322094"/>
          <a:ext cx="202408" cy="2405062"/>
        </a:xfrm>
        <a:prstGeom prst="round2SameRect">
          <a:avLst>
            <a:gd name="adj1" fmla="val 34849"/>
            <a:gd name="adj2" fmla="val 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172642</xdr:colOff>
      <xdr:row>42</xdr:row>
      <xdr:rowOff>142874</xdr:rowOff>
    </xdr:from>
    <xdr:to>
      <xdr:col>7</xdr:col>
      <xdr:colOff>851298</xdr:colOff>
      <xdr:row>43</xdr:row>
      <xdr:rowOff>136921</xdr:rowOff>
    </xdr:to>
    <xdr:sp macro="" textlink="">
      <xdr:nvSpPr>
        <xdr:cNvPr id="3" name="Rectangle: Rounded Corners 2">
          <a:extLst>
            <a:ext uri="{FF2B5EF4-FFF2-40B4-BE49-F238E27FC236}">
              <a16:creationId xmlns:a16="http://schemas.microsoft.com/office/drawing/2014/main" id="{A46CC716-7576-AEFF-5F8B-2FAE3D17F09B}"/>
            </a:ext>
          </a:extLst>
        </xdr:cNvPr>
        <xdr:cNvSpPr/>
      </xdr:nvSpPr>
      <xdr:spPr>
        <a:xfrm rot="16200000">
          <a:off x="6378774" y="6985992"/>
          <a:ext cx="184547" cy="2500312"/>
        </a:xfrm>
        <a:prstGeom prst="roundRect">
          <a:avLst>
            <a:gd name="adj" fmla="val 35535"/>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255985</xdr:colOff>
      <xdr:row>87</xdr:row>
      <xdr:rowOff>23812</xdr:rowOff>
    </xdr:from>
    <xdr:to>
      <xdr:col>5</xdr:col>
      <xdr:colOff>291704</xdr:colOff>
      <xdr:row>88</xdr:row>
      <xdr:rowOff>125016</xdr:rowOff>
    </xdr:to>
    <xdr:sp macro="" textlink="">
      <xdr:nvSpPr>
        <xdr:cNvPr id="5" name="Rectangle: Top Corners Rounded 4">
          <a:extLst>
            <a:ext uri="{FF2B5EF4-FFF2-40B4-BE49-F238E27FC236}">
              <a16:creationId xmlns:a16="http://schemas.microsoft.com/office/drawing/2014/main" id="{D98E3780-0F4A-4883-42A9-606DC6FC62B1}"/>
            </a:ext>
          </a:extLst>
        </xdr:cNvPr>
        <xdr:cNvSpPr/>
      </xdr:nvSpPr>
      <xdr:spPr>
        <a:xfrm rot="5400000" flipH="1">
          <a:off x="4068961" y="15320367"/>
          <a:ext cx="291704" cy="2845594"/>
        </a:xfrm>
        <a:prstGeom prst="round2SameRect">
          <a:avLst>
            <a:gd name="adj1" fmla="val 50000"/>
            <a:gd name="adj2" fmla="val 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46</xdr:col>
      <xdr:colOff>833438</xdr:colOff>
      <xdr:row>9</xdr:row>
      <xdr:rowOff>142879</xdr:rowOff>
    </xdr:from>
    <xdr:to>
      <xdr:col>49</xdr:col>
      <xdr:colOff>511970</xdr:colOff>
      <xdr:row>11</xdr:row>
      <xdr:rowOff>130970</xdr:rowOff>
    </xdr:to>
    <xdr:sp macro="" textlink="">
      <xdr:nvSpPr>
        <xdr:cNvPr id="12" name="Rectangle: Top Corners Rounded 11">
          <a:extLst>
            <a:ext uri="{FF2B5EF4-FFF2-40B4-BE49-F238E27FC236}">
              <a16:creationId xmlns:a16="http://schemas.microsoft.com/office/drawing/2014/main" id="{8A1C2DEC-CFB6-33C1-5DA0-7CD4F34B4065}"/>
            </a:ext>
          </a:extLst>
        </xdr:cNvPr>
        <xdr:cNvSpPr/>
      </xdr:nvSpPr>
      <xdr:spPr>
        <a:xfrm rot="5400000">
          <a:off x="51488580" y="517925"/>
          <a:ext cx="369091" cy="3048000"/>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c</a:t>
          </a:r>
          <a:endParaRPr lang="en-NG"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448235</xdr:colOff>
      <xdr:row>7</xdr:row>
      <xdr:rowOff>0</xdr:rowOff>
    </xdr:from>
    <xdr:to>
      <xdr:col>22</xdr:col>
      <xdr:colOff>548947</xdr:colOff>
      <xdr:row>44</xdr:row>
      <xdr:rowOff>37353</xdr:rowOff>
    </xdr:to>
    <xdr:sp macro="" textlink="">
      <xdr:nvSpPr>
        <xdr:cNvPr id="27" name="Rectangle: Rounded Corners 26">
          <a:extLst>
            <a:ext uri="{FF2B5EF4-FFF2-40B4-BE49-F238E27FC236}">
              <a16:creationId xmlns:a16="http://schemas.microsoft.com/office/drawing/2014/main" id="{2E9943E1-0B9F-45FD-A631-44BD39E7F914}"/>
            </a:ext>
          </a:extLst>
        </xdr:cNvPr>
        <xdr:cNvSpPr/>
      </xdr:nvSpPr>
      <xdr:spPr>
        <a:xfrm>
          <a:off x="1680882" y="1307353"/>
          <a:ext cx="12427183" cy="6947647"/>
        </a:xfrm>
        <a:prstGeom prst="roundRect">
          <a:avLst>
            <a:gd name="adj" fmla="val 2063"/>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21278</xdr:colOff>
      <xdr:row>8</xdr:row>
      <xdr:rowOff>0</xdr:rowOff>
    </xdr:from>
    <xdr:to>
      <xdr:col>22</xdr:col>
      <xdr:colOff>401029</xdr:colOff>
      <xdr:row>43</xdr:row>
      <xdr:rowOff>18113</xdr:rowOff>
    </xdr:to>
    <xdr:sp macro="" textlink="">
      <xdr:nvSpPr>
        <xdr:cNvPr id="2" name="Rectangle: Rounded Corners 1">
          <a:extLst>
            <a:ext uri="{FF2B5EF4-FFF2-40B4-BE49-F238E27FC236}">
              <a16:creationId xmlns:a16="http://schemas.microsoft.com/office/drawing/2014/main" id="{715D6088-1806-DFCE-AAF0-78149682CB2B}"/>
            </a:ext>
          </a:extLst>
        </xdr:cNvPr>
        <xdr:cNvSpPr/>
      </xdr:nvSpPr>
      <xdr:spPr>
        <a:xfrm>
          <a:off x="1850078" y="1524000"/>
          <a:ext cx="11962151" cy="6685613"/>
        </a:xfrm>
        <a:prstGeom prst="roundRect">
          <a:avLst>
            <a:gd name="adj" fmla="val 206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96233</xdr:colOff>
      <xdr:row>17</xdr:row>
      <xdr:rowOff>16861</xdr:rowOff>
    </xdr:from>
    <xdr:to>
      <xdr:col>3</xdr:col>
      <xdr:colOff>455995</xdr:colOff>
      <xdr:row>30</xdr:row>
      <xdr:rowOff>30845</xdr:rowOff>
    </xdr:to>
    <xdr:sp macro="" textlink="">
      <xdr:nvSpPr>
        <xdr:cNvPr id="3" name="Rectangle: Rounded Corners 2">
          <a:extLst>
            <a:ext uri="{FF2B5EF4-FFF2-40B4-BE49-F238E27FC236}">
              <a16:creationId xmlns:a16="http://schemas.microsoft.com/office/drawing/2014/main" id="{8BAAE178-F4FB-089C-B2C7-E8875588A54E}"/>
            </a:ext>
          </a:extLst>
        </xdr:cNvPr>
        <xdr:cNvSpPr/>
      </xdr:nvSpPr>
      <xdr:spPr>
        <a:xfrm>
          <a:off x="1925033" y="3255361"/>
          <a:ext cx="359762" cy="2490484"/>
        </a:xfrm>
        <a:prstGeom prst="roundRect">
          <a:avLst>
            <a:gd name="adj" fmla="val 50000"/>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590904</xdr:colOff>
      <xdr:row>11</xdr:row>
      <xdr:rowOff>20610</xdr:rowOff>
    </xdr:from>
    <xdr:to>
      <xdr:col>7</xdr:col>
      <xdr:colOff>161183</xdr:colOff>
      <xdr:row>15</xdr:row>
      <xdr:rowOff>143032</xdr:rowOff>
    </xdr:to>
    <xdr:sp macro="" textlink="">
      <xdr:nvSpPr>
        <xdr:cNvPr id="4" name="Rectangle: Rounded Corners 3">
          <a:extLst>
            <a:ext uri="{FF2B5EF4-FFF2-40B4-BE49-F238E27FC236}">
              <a16:creationId xmlns:a16="http://schemas.microsoft.com/office/drawing/2014/main" id="{E5D4D5F1-362C-60F5-41AC-42703305AB6D}"/>
            </a:ext>
          </a:extLst>
        </xdr:cNvPr>
        <xdr:cNvSpPr/>
      </xdr:nvSpPr>
      <xdr:spPr>
        <a:xfrm>
          <a:off x="2419704" y="2116110"/>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7</xdr:col>
      <xdr:colOff>397047</xdr:colOff>
      <xdr:row>11</xdr:row>
      <xdr:rowOff>20610</xdr:rowOff>
    </xdr:from>
    <xdr:to>
      <xdr:col>10</xdr:col>
      <xdr:colOff>576926</xdr:colOff>
      <xdr:row>15</xdr:row>
      <xdr:rowOff>143032</xdr:rowOff>
    </xdr:to>
    <xdr:sp macro="" textlink="">
      <xdr:nvSpPr>
        <xdr:cNvPr id="5" name="Rectangle: Rounded Corners 4">
          <a:extLst>
            <a:ext uri="{FF2B5EF4-FFF2-40B4-BE49-F238E27FC236}">
              <a16:creationId xmlns:a16="http://schemas.microsoft.com/office/drawing/2014/main" id="{B01FF537-5D39-F788-9B2C-3EF65885C62B}"/>
            </a:ext>
          </a:extLst>
        </xdr:cNvPr>
        <xdr:cNvSpPr/>
      </xdr:nvSpPr>
      <xdr:spPr>
        <a:xfrm>
          <a:off x="4664247" y="2116110"/>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11</xdr:col>
      <xdr:colOff>203190</xdr:colOff>
      <xdr:row>11</xdr:row>
      <xdr:rowOff>13115</xdr:rowOff>
    </xdr:from>
    <xdr:to>
      <xdr:col>14</xdr:col>
      <xdr:colOff>383069</xdr:colOff>
      <xdr:row>15</xdr:row>
      <xdr:rowOff>135537</xdr:rowOff>
    </xdr:to>
    <xdr:sp macro="" textlink="">
      <xdr:nvSpPr>
        <xdr:cNvPr id="6" name="Rectangle: Rounded Corners 5">
          <a:extLst>
            <a:ext uri="{FF2B5EF4-FFF2-40B4-BE49-F238E27FC236}">
              <a16:creationId xmlns:a16="http://schemas.microsoft.com/office/drawing/2014/main" id="{A513DA3C-F460-D337-EF22-F2F0EBB4D385}"/>
            </a:ext>
          </a:extLst>
        </xdr:cNvPr>
        <xdr:cNvSpPr/>
      </xdr:nvSpPr>
      <xdr:spPr>
        <a:xfrm>
          <a:off x="6908790"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15</xdr:col>
      <xdr:colOff>24323</xdr:colOff>
      <xdr:row>11</xdr:row>
      <xdr:rowOff>13115</xdr:rowOff>
    </xdr:from>
    <xdr:to>
      <xdr:col>18</xdr:col>
      <xdr:colOff>204202</xdr:colOff>
      <xdr:row>15</xdr:row>
      <xdr:rowOff>135537</xdr:rowOff>
    </xdr:to>
    <xdr:sp macro="" textlink="">
      <xdr:nvSpPr>
        <xdr:cNvPr id="7" name="Rectangle: Rounded Corners 6">
          <a:extLst>
            <a:ext uri="{FF2B5EF4-FFF2-40B4-BE49-F238E27FC236}">
              <a16:creationId xmlns:a16="http://schemas.microsoft.com/office/drawing/2014/main" id="{8259CCC8-9B94-9943-D09F-76D558F7A634}"/>
            </a:ext>
          </a:extLst>
        </xdr:cNvPr>
        <xdr:cNvSpPr/>
      </xdr:nvSpPr>
      <xdr:spPr>
        <a:xfrm>
          <a:off x="9168323"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18</xdr:col>
      <xdr:colOff>480001</xdr:colOff>
      <xdr:row>11</xdr:row>
      <xdr:rowOff>13115</xdr:rowOff>
    </xdr:from>
    <xdr:to>
      <xdr:col>22</xdr:col>
      <xdr:colOff>50280</xdr:colOff>
      <xdr:row>15</xdr:row>
      <xdr:rowOff>135537</xdr:rowOff>
    </xdr:to>
    <xdr:sp macro="" textlink="">
      <xdr:nvSpPr>
        <xdr:cNvPr id="8" name="Rectangle: Rounded Corners 7">
          <a:extLst>
            <a:ext uri="{FF2B5EF4-FFF2-40B4-BE49-F238E27FC236}">
              <a16:creationId xmlns:a16="http://schemas.microsoft.com/office/drawing/2014/main" id="{A236FDC9-09AB-E0C0-9676-708251A659BF}"/>
            </a:ext>
          </a:extLst>
        </xdr:cNvPr>
        <xdr:cNvSpPr/>
      </xdr:nvSpPr>
      <xdr:spPr>
        <a:xfrm>
          <a:off x="11452801"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3</xdr:col>
      <xdr:colOff>605893</xdr:colOff>
      <xdr:row>17</xdr:row>
      <xdr:rowOff>84321</xdr:rowOff>
    </xdr:from>
    <xdr:to>
      <xdr:col>11</xdr:col>
      <xdr:colOff>227188</xdr:colOff>
      <xdr:row>29</xdr:row>
      <xdr:rowOff>121794</xdr:rowOff>
    </xdr:to>
    <xdr:sp macro="" textlink="">
      <xdr:nvSpPr>
        <xdr:cNvPr id="9" name="Rectangle: Rounded Corners 8">
          <a:extLst>
            <a:ext uri="{FF2B5EF4-FFF2-40B4-BE49-F238E27FC236}">
              <a16:creationId xmlns:a16="http://schemas.microsoft.com/office/drawing/2014/main" id="{125941B4-D863-2985-9AB1-BD1ADBC9FD8A}"/>
            </a:ext>
          </a:extLst>
        </xdr:cNvPr>
        <xdr:cNvSpPr/>
      </xdr:nvSpPr>
      <xdr:spPr>
        <a:xfrm>
          <a:off x="2449441" y="3218353"/>
          <a:ext cx="4537424" cy="2249731"/>
        </a:xfrm>
        <a:prstGeom prst="roundRect">
          <a:avLst>
            <a:gd name="adj" fmla="val 699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11</xdr:col>
      <xdr:colOff>318554</xdr:colOff>
      <xdr:row>17</xdr:row>
      <xdr:rowOff>70282</xdr:rowOff>
    </xdr:from>
    <xdr:to>
      <xdr:col>16</xdr:col>
      <xdr:colOff>508435</xdr:colOff>
      <xdr:row>42</xdr:row>
      <xdr:rowOff>67159</xdr:rowOff>
    </xdr:to>
    <xdr:sp macro="" textlink="">
      <xdr:nvSpPr>
        <xdr:cNvPr id="10" name="Rectangle: Rounded Corners 9">
          <a:extLst>
            <a:ext uri="{FF2B5EF4-FFF2-40B4-BE49-F238E27FC236}">
              <a16:creationId xmlns:a16="http://schemas.microsoft.com/office/drawing/2014/main" id="{E9752799-DBFE-329E-B86F-FAA37AF309B1}"/>
            </a:ext>
          </a:extLst>
        </xdr:cNvPr>
        <xdr:cNvSpPr/>
      </xdr:nvSpPr>
      <xdr:spPr>
        <a:xfrm>
          <a:off x="7024154" y="3308782"/>
          <a:ext cx="3237881" cy="4759377"/>
        </a:xfrm>
        <a:prstGeom prst="roundRect">
          <a:avLst>
            <a:gd name="adj" fmla="val 5874"/>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16</xdr:col>
      <xdr:colOff>599802</xdr:colOff>
      <xdr:row>17</xdr:row>
      <xdr:rowOff>70282</xdr:rowOff>
    </xdr:from>
    <xdr:to>
      <xdr:col>22</xdr:col>
      <xdr:colOff>215170</xdr:colOff>
      <xdr:row>42</xdr:row>
      <xdr:rowOff>67159</xdr:rowOff>
    </xdr:to>
    <xdr:sp macro="" textlink="">
      <xdr:nvSpPr>
        <xdr:cNvPr id="11" name="Rectangle: Rounded Corners 10">
          <a:extLst>
            <a:ext uri="{FF2B5EF4-FFF2-40B4-BE49-F238E27FC236}">
              <a16:creationId xmlns:a16="http://schemas.microsoft.com/office/drawing/2014/main" id="{DD7F0727-B74D-274F-A57D-07FF8033B68C}"/>
            </a:ext>
          </a:extLst>
        </xdr:cNvPr>
        <xdr:cNvSpPr/>
      </xdr:nvSpPr>
      <xdr:spPr>
        <a:xfrm>
          <a:off x="10353402" y="3308782"/>
          <a:ext cx="3272968" cy="4759377"/>
        </a:xfrm>
        <a:prstGeom prst="roundRect">
          <a:avLst>
            <a:gd name="adj" fmla="val 5874"/>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b="0">
            <a:solidFill>
              <a:schemeClr val="tx1"/>
            </a:solidFill>
          </a:endParaRPr>
        </a:p>
      </xdr:txBody>
    </xdr:sp>
    <xdr:clientData/>
  </xdr:twoCellAnchor>
  <xdr:twoCellAnchor>
    <xdr:from>
      <xdr:col>3</xdr:col>
      <xdr:colOff>605892</xdr:colOff>
      <xdr:row>29</xdr:row>
      <xdr:rowOff>162130</xdr:rowOff>
    </xdr:from>
    <xdr:to>
      <xdr:col>11</xdr:col>
      <xdr:colOff>227187</xdr:colOff>
      <xdr:row>42</xdr:row>
      <xdr:rowOff>67159</xdr:rowOff>
    </xdr:to>
    <xdr:sp macro="" textlink="">
      <xdr:nvSpPr>
        <xdr:cNvPr id="12" name="Rectangle: Rounded Corners 11">
          <a:extLst>
            <a:ext uri="{FF2B5EF4-FFF2-40B4-BE49-F238E27FC236}">
              <a16:creationId xmlns:a16="http://schemas.microsoft.com/office/drawing/2014/main" id="{5654BFF8-3C66-AB46-3C11-FD23CE1BFBA4}"/>
            </a:ext>
          </a:extLst>
        </xdr:cNvPr>
        <xdr:cNvSpPr/>
      </xdr:nvSpPr>
      <xdr:spPr>
        <a:xfrm>
          <a:off x="2434692" y="5686630"/>
          <a:ext cx="4498095" cy="2381529"/>
        </a:xfrm>
        <a:prstGeom prst="roundRect">
          <a:avLst>
            <a:gd name="adj" fmla="val 699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4</xdr:col>
      <xdr:colOff>525945</xdr:colOff>
      <xdr:row>14</xdr:row>
      <xdr:rowOff>15288</xdr:rowOff>
    </xdr:from>
    <xdr:to>
      <xdr:col>7</xdr:col>
      <xdr:colOff>32459</xdr:colOff>
      <xdr:row>15</xdr:row>
      <xdr:rowOff>132565</xdr:rowOff>
    </xdr:to>
    <xdr:sp macro="" textlink="">
      <xdr:nvSpPr>
        <xdr:cNvPr id="13" name="TextBox 20">
          <a:extLst>
            <a:ext uri="{FF2B5EF4-FFF2-40B4-BE49-F238E27FC236}">
              <a16:creationId xmlns:a16="http://schemas.microsoft.com/office/drawing/2014/main" id="{95773962-5B29-30AE-2736-D4EE0981A138}"/>
            </a:ext>
          </a:extLst>
        </xdr:cNvPr>
        <xdr:cNvSpPr txBox="1"/>
      </xdr:nvSpPr>
      <xdr:spPr>
        <a:xfrm>
          <a:off x="2964345" y="2682288"/>
          <a:ext cx="1335314"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Customers</a:t>
          </a:r>
          <a:endParaRPr lang="en-NG" sz="1600"/>
        </a:p>
      </xdr:txBody>
    </xdr:sp>
    <xdr:clientData/>
  </xdr:twoCellAnchor>
  <xdr:twoCellAnchor>
    <xdr:from>
      <xdr:col>8</xdr:col>
      <xdr:colOff>245831</xdr:colOff>
      <xdr:row>13</xdr:row>
      <xdr:rowOff>189473</xdr:rowOff>
    </xdr:from>
    <xdr:to>
      <xdr:col>10</xdr:col>
      <xdr:colOff>361945</xdr:colOff>
      <xdr:row>15</xdr:row>
      <xdr:rowOff>116250</xdr:rowOff>
    </xdr:to>
    <xdr:sp macro="" textlink="">
      <xdr:nvSpPr>
        <xdr:cNvPr id="14" name="TextBox 21">
          <a:extLst>
            <a:ext uri="{FF2B5EF4-FFF2-40B4-BE49-F238E27FC236}">
              <a16:creationId xmlns:a16="http://schemas.microsoft.com/office/drawing/2014/main" id="{99B2CF3F-24FF-80C1-CBEF-1EF30C07D8D0}"/>
            </a:ext>
          </a:extLst>
        </xdr:cNvPr>
        <xdr:cNvSpPr txBox="1"/>
      </xdr:nvSpPr>
      <xdr:spPr>
        <a:xfrm>
          <a:off x="5071831" y="2665973"/>
          <a:ext cx="1322614"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Total Income</a:t>
          </a:r>
          <a:endParaRPr lang="en-NG" sz="1600"/>
        </a:p>
      </xdr:txBody>
    </xdr:sp>
    <xdr:clientData/>
  </xdr:twoCellAnchor>
  <xdr:twoCellAnchor>
    <xdr:from>
      <xdr:col>11</xdr:col>
      <xdr:colOff>600135</xdr:colOff>
      <xdr:row>14</xdr:row>
      <xdr:rowOff>20432</xdr:rowOff>
    </xdr:from>
    <xdr:to>
      <xdr:col>14</xdr:col>
      <xdr:colOff>384772</xdr:colOff>
      <xdr:row>15</xdr:row>
      <xdr:rowOff>137709</xdr:rowOff>
    </xdr:to>
    <xdr:sp macro="" textlink="">
      <xdr:nvSpPr>
        <xdr:cNvPr id="15" name="TextBox 22">
          <a:extLst>
            <a:ext uri="{FF2B5EF4-FFF2-40B4-BE49-F238E27FC236}">
              <a16:creationId xmlns:a16="http://schemas.microsoft.com/office/drawing/2014/main" id="{FB1B1FAF-D00E-3408-318E-A104D1054FF9}"/>
            </a:ext>
          </a:extLst>
        </xdr:cNvPr>
        <xdr:cNvSpPr txBox="1"/>
      </xdr:nvSpPr>
      <xdr:spPr>
        <a:xfrm>
          <a:off x="7235885" y="2687432"/>
          <a:ext cx="1594387"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 Income</a:t>
          </a:r>
          <a:endParaRPr lang="en-NG" sz="1400"/>
        </a:p>
      </xdr:txBody>
    </xdr:sp>
    <xdr:clientData/>
  </xdr:twoCellAnchor>
  <xdr:twoCellAnchor>
    <xdr:from>
      <xdr:col>15</xdr:col>
      <xdr:colOff>427029</xdr:colOff>
      <xdr:row>13</xdr:row>
      <xdr:rowOff>175109</xdr:rowOff>
    </xdr:from>
    <xdr:to>
      <xdr:col>17</xdr:col>
      <xdr:colOff>543143</xdr:colOff>
      <xdr:row>15</xdr:row>
      <xdr:rowOff>132663</xdr:rowOff>
    </xdr:to>
    <xdr:sp macro="" textlink="">
      <xdr:nvSpPr>
        <xdr:cNvPr id="16" name="TextBox 23">
          <a:extLst>
            <a:ext uri="{FF2B5EF4-FFF2-40B4-BE49-F238E27FC236}">
              <a16:creationId xmlns:a16="http://schemas.microsoft.com/office/drawing/2014/main" id="{931BEA83-72BC-9966-160F-2C36136B6607}"/>
            </a:ext>
          </a:extLst>
        </xdr:cNvPr>
        <xdr:cNvSpPr txBox="1"/>
      </xdr:nvSpPr>
      <xdr:spPr>
        <a:xfrm>
          <a:off x="9629148" y="2693584"/>
          <a:ext cx="1343063" cy="34501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a:t>
          </a:r>
          <a:r>
            <a:rPr lang="en-GB" sz="1600"/>
            <a:t> </a:t>
          </a:r>
          <a:r>
            <a:rPr lang="en-GB" sz="1400"/>
            <a:t>Age</a:t>
          </a:r>
          <a:endParaRPr lang="en-NG" sz="1600"/>
        </a:p>
      </xdr:txBody>
    </xdr:sp>
    <xdr:clientData/>
  </xdr:twoCellAnchor>
  <xdr:twoCellAnchor>
    <xdr:from>
      <xdr:col>19</xdr:col>
      <xdr:colOff>258811</xdr:colOff>
      <xdr:row>14</xdr:row>
      <xdr:rowOff>22546</xdr:rowOff>
    </xdr:from>
    <xdr:to>
      <xdr:col>22</xdr:col>
      <xdr:colOff>34404</xdr:colOff>
      <xdr:row>15</xdr:row>
      <xdr:rowOff>139823</xdr:rowOff>
    </xdr:to>
    <xdr:sp macro="" textlink="">
      <xdr:nvSpPr>
        <xdr:cNvPr id="17" name="TextBox 24">
          <a:extLst>
            <a:ext uri="{FF2B5EF4-FFF2-40B4-BE49-F238E27FC236}">
              <a16:creationId xmlns:a16="http://schemas.microsoft.com/office/drawing/2014/main" id="{891709F0-9121-D14B-5CDD-BD73F45732B1}"/>
            </a:ext>
          </a:extLst>
        </xdr:cNvPr>
        <xdr:cNvSpPr txBox="1"/>
      </xdr:nvSpPr>
      <xdr:spPr>
        <a:xfrm>
          <a:off x="11720561" y="2689546"/>
          <a:ext cx="1585343"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 Tenure</a:t>
          </a:r>
          <a:endParaRPr lang="en-NG" sz="1400"/>
        </a:p>
      </xdr:txBody>
    </xdr:sp>
    <xdr:clientData/>
  </xdr:twoCellAnchor>
  <xdr:twoCellAnchor editAs="oneCell">
    <xdr:from>
      <xdr:col>3</xdr:col>
      <xdr:colOff>96234</xdr:colOff>
      <xdr:row>22</xdr:row>
      <xdr:rowOff>116893</xdr:rowOff>
    </xdr:from>
    <xdr:to>
      <xdr:col>3</xdr:col>
      <xdr:colOff>439122</xdr:colOff>
      <xdr:row>24</xdr:row>
      <xdr:rowOff>78781</xdr:rowOff>
    </xdr:to>
    <xdr:pic>
      <xdr:nvPicPr>
        <xdr:cNvPr id="18" name="Picture 17">
          <a:extLst>
            <a:ext uri="{FF2B5EF4-FFF2-40B4-BE49-F238E27FC236}">
              <a16:creationId xmlns:a16="http://schemas.microsoft.com/office/drawing/2014/main" id="{9B5691AD-F9E0-E421-EA8C-0FC4889290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25034" y="4307893"/>
          <a:ext cx="342888" cy="342888"/>
        </a:xfrm>
        <a:prstGeom prst="rect">
          <a:avLst/>
        </a:prstGeom>
      </xdr:spPr>
    </xdr:pic>
    <xdr:clientData/>
  </xdr:twoCellAnchor>
  <xdr:twoCellAnchor>
    <xdr:from>
      <xdr:col>4</xdr:col>
      <xdr:colOff>213102</xdr:colOff>
      <xdr:row>17</xdr:row>
      <xdr:rowOff>73854</xdr:rowOff>
    </xdr:from>
    <xdr:to>
      <xdr:col>10</xdr:col>
      <xdr:colOff>322881</xdr:colOff>
      <xdr:row>19</xdr:row>
      <xdr:rowOff>29183</xdr:rowOff>
    </xdr:to>
    <xdr:sp macro="" textlink="">
      <xdr:nvSpPr>
        <xdr:cNvPr id="19" name="TextBox 27">
          <a:extLst>
            <a:ext uri="{FF2B5EF4-FFF2-40B4-BE49-F238E27FC236}">
              <a16:creationId xmlns:a16="http://schemas.microsoft.com/office/drawing/2014/main" id="{674AF4C1-C0AC-1242-2852-559C157B6472}"/>
            </a:ext>
          </a:extLst>
        </xdr:cNvPr>
        <xdr:cNvSpPr txBox="1"/>
      </xdr:nvSpPr>
      <xdr:spPr>
        <a:xfrm>
          <a:off x="2667000" y="3367244"/>
          <a:ext cx="3790627" cy="342786"/>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a:latin typeface="Calibri" panose="020F0502020204030204" pitchFamily="34" charset="0"/>
              <a:ea typeface="Calibri" panose="020F0502020204030204" pitchFamily="34" charset="0"/>
              <a:cs typeface="Calibri" panose="020F0502020204030204" pitchFamily="34" charset="0"/>
            </a:rPr>
            <a:t>Average Income By Age Group</a:t>
          </a:r>
          <a:endParaRPr lang="en-NG"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147292</xdr:colOff>
      <xdr:row>17</xdr:row>
      <xdr:rowOff>39954</xdr:rowOff>
    </xdr:from>
    <xdr:to>
      <xdr:col>21</xdr:col>
      <xdr:colOff>402080</xdr:colOff>
      <xdr:row>18</xdr:row>
      <xdr:rowOff>179703</xdr:rowOff>
    </xdr:to>
    <xdr:sp macro="" textlink="">
      <xdr:nvSpPr>
        <xdr:cNvPr id="20" name="TextBox 28">
          <a:extLst>
            <a:ext uri="{FF2B5EF4-FFF2-40B4-BE49-F238E27FC236}">
              <a16:creationId xmlns:a16="http://schemas.microsoft.com/office/drawing/2014/main" id="{B21B5368-0DD6-EABD-3229-93B2C1C4BF39}"/>
            </a:ext>
          </a:extLst>
        </xdr:cNvPr>
        <xdr:cNvSpPr txBox="1"/>
      </xdr:nvSpPr>
      <xdr:spPr>
        <a:xfrm>
          <a:off x="10594066" y="3173986"/>
          <a:ext cx="2712853" cy="324104"/>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Tenure</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Analysis</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314845</xdr:colOff>
      <xdr:row>17</xdr:row>
      <xdr:rowOff>102570</xdr:rowOff>
    </xdr:from>
    <xdr:to>
      <xdr:col>17</xdr:col>
      <xdr:colOff>161441</xdr:colOff>
      <xdr:row>19</xdr:row>
      <xdr:rowOff>57964</xdr:rowOff>
    </xdr:to>
    <xdr:sp macro="" textlink="">
      <xdr:nvSpPr>
        <xdr:cNvPr id="21" name="TextBox 29">
          <a:extLst>
            <a:ext uri="{FF2B5EF4-FFF2-40B4-BE49-F238E27FC236}">
              <a16:creationId xmlns:a16="http://schemas.microsoft.com/office/drawing/2014/main" id="{C66BBAE9-2F99-5CDC-4AE8-39F5EE87D5A9}"/>
            </a:ext>
          </a:extLst>
        </xdr:cNvPr>
        <xdr:cNvSpPr txBox="1"/>
      </xdr:nvSpPr>
      <xdr:spPr>
        <a:xfrm>
          <a:off x="7063065" y="3395960"/>
          <a:ext cx="3527444" cy="34285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 Count By Gender &amp; Region</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179265</xdr:colOff>
      <xdr:row>29</xdr:row>
      <xdr:rowOff>167487</xdr:rowOff>
    </xdr:from>
    <xdr:to>
      <xdr:col>8</xdr:col>
      <xdr:colOff>434053</xdr:colOff>
      <xdr:row>31</xdr:row>
      <xdr:rowOff>129338</xdr:rowOff>
    </xdr:to>
    <xdr:sp macro="" textlink="">
      <xdr:nvSpPr>
        <xdr:cNvPr id="22" name="TextBox 30">
          <a:extLst>
            <a:ext uri="{FF2B5EF4-FFF2-40B4-BE49-F238E27FC236}">
              <a16:creationId xmlns:a16="http://schemas.microsoft.com/office/drawing/2014/main" id="{1ACF7B09-7597-4ECF-2416-A162B45ECE2C}"/>
            </a:ext>
          </a:extLst>
        </xdr:cNvPr>
        <xdr:cNvSpPr txBox="1"/>
      </xdr:nvSpPr>
      <xdr:spPr>
        <a:xfrm>
          <a:off x="2592265" y="5691987"/>
          <a:ext cx="2667788" cy="34285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 Income Trend</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90369</xdr:colOff>
      <xdr:row>19</xdr:row>
      <xdr:rowOff>17886</xdr:rowOff>
    </xdr:from>
    <xdr:to>
      <xdr:col>3</xdr:col>
      <xdr:colOff>433257</xdr:colOff>
      <xdr:row>20</xdr:row>
      <xdr:rowOff>170274</xdr:rowOff>
    </xdr:to>
    <xdr:pic>
      <xdr:nvPicPr>
        <xdr:cNvPr id="23" name="Picture 22" descr="A black background with a black square&#10;&#10;AI-generated content may be incorrect.">
          <a:extLst>
            <a:ext uri="{FF2B5EF4-FFF2-40B4-BE49-F238E27FC236}">
              <a16:creationId xmlns:a16="http://schemas.microsoft.com/office/drawing/2014/main" id="{BC7C62F4-8324-BDB9-1C75-0D14498B5C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9169" y="3637386"/>
          <a:ext cx="342888" cy="342888"/>
        </a:xfrm>
        <a:prstGeom prst="rect">
          <a:avLst/>
        </a:prstGeom>
      </xdr:spPr>
    </xdr:pic>
    <xdr:clientData/>
  </xdr:twoCellAnchor>
  <xdr:twoCellAnchor editAs="oneCell">
    <xdr:from>
      <xdr:col>3</xdr:col>
      <xdr:colOff>117210</xdr:colOff>
      <xdr:row>26</xdr:row>
      <xdr:rowOff>99664</xdr:rowOff>
    </xdr:from>
    <xdr:to>
      <xdr:col>3</xdr:col>
      <xdr:colOff>434671</xdr:colOff>
      <xdr:row>28</xdr:row>
      <xdr:rowOff>36125</xdr:rowOff>
    </xdr:to>
    <xdr:pic>
      <xdr:nvPicPr>
        <xdr:cNvPr id="24" name="Picture 23" descr="A black background with a black square&#10;&#10;AI-generated content may be incorrect.">
          <a:extLst>
            <a:ext uri="{FF2B5EF4-FFF2-40B4-BE49-F238E27FC236}">
              <a16:creationId xmlns:a16="http://schemas.microsoft.com/office/drawing/2014/main" id="{0C9EDCCB-7B6E-E537-5930-8DC32B80EC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46010" y="5052664"/>
          <a:ext cx="317461" cy="317461"/>
        </a:xfrm>
        <a:prstGeom prst="rect">
          <a:avLst/>
        </a:prstGeom>
      </xdr:spPr>
    </xdr:pic>
    <xdr:clientData/>
  </xdr:twoCellAnchor>
  <xdr:twoCellAnchor editAs="oneCell">
    <xdr:from>
      <xdr:col>11</xdr:col>
      <xdr:colOff>185477</xdr:colOff>
      <xdr:row>12</xdr:row>
      <xdr:rowOff>158425</xdr:rowOff>
    </xdr:from>
    <xdr:to>
      <xdr:col>12</xdr:col>
      <xdr:colOff>92917</xdr:colOff>
      <xdr:row>15</xdr:row>
      <xdr:rowOff>103965</xdr:rowOff>
    </xdr:to>
    <xdr:pic>
      <xdr:nvPicPr>
        <xdr:cNvPr id="25" name="Picture 24">
          <a:extLst>
            <a:ext uri="{FF2B5EF4-FFF2-40B4-BE49-F238E27FC236}">
              <a16:creationId xmlns:a16="http://schemas.microsoft.com/office/drawing/2014/main" id="{EF716D32-10B6-DD13-E699-7EC3B4990FD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91077" y="2444425"/>
          <a:ext cx="517040" cy="517040"/>
        </a:xfrm>
        <a:prstGeom prst="rect">
          <a:avLst/>
        </a:prstGeom>
      </xdr:spPr>
    </xdr:pic>
    <xdr:clientData/>
  </xdr:twoCellAnchor>
  <xdr:twoCellAnchor editAs="oneCell">
    <xdr:from>
      <xdr:col>4</xdr:col>
      <xdr:colOff>10355</xdr:colOff>
      <xdr:row>12</xdr:row>
      <xdr:rowOff>143785</xdr:rowOff>
    </xdr:from>
    <xdr:to>
      <xdr:col>4</xdr:col>
      <xdr:colOff>569490</xdr:colOff>
      <xdr:row>15</xdr:row>
      <xdr:rowOff>131420</xdr:rowOff>
    </xdr:to>
    <xdr:pic>
      <xdr:nvPicPr>
        <xdr:cNvPr id="26" name="Picture 25">
          <a:extLst>
            <a:ext uri="{FF2B5EF4-FFF2-40B4-BE49-F238E27FC236}">
              <a16:creationId xmlns:a16="http://schemas.microsoft.com/office/drawing/2014/main" id="{8A99DD6B-CEA1-2FF2-0732-3289D5E9BFC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48755" y="2429785"/>
          <a:ext cx="559135" cy="559135"/>
        </a:xfrm>
        <a:prstGeom prst="rect">
          <a:avLst/>
        </a:prstGeom>
      </xdr:spPr>
    </xdr:pic>
    <xdr:clientData/>
  </xdr:twoCellAnchor>
  <xdr:twoCellAnchor editAs="oneCell">
    <xdr:from>
      <xdr:col>15</xdr:col>
      <xdr:colOff>10640</xdr:colOff>
      <xdr:row>12</xdr:row>
      <xdr:rowOff>170082</xdr:rowOff>
    </xdr:from>
    <xdr:to>
      <xdr:col>15</xdr:col>
      <xdr:colOff>511433</xdr:colOff>
      <xdr:row>15</xdr:row>
      <xdr:rowOff>99375</xdr:rowOff>
    </xdr:to>
    <xdr:pic>
      <xdr:nvPicPr>
        <xdr:cNvPr id="28" name="Picture 27">
          <a:extLst>
            <a:ext uri="{FF2B5EF4-FFF2-40B4-BE49-F238E27FC236}">
              <a16:creationId xmlns:a16="http://schemas.microsoft.com/office/drawing/2014/main" id="{DC694B39-76C2-6573-7A9A-24987B53CD6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154640" y="2456082"/>
          <a:ext cx="500793" cy="500793"/>
        </a:xfrm>
        <a:prstGeom prst="rect">
          <a:avLst/>
        </a:prstGeom>
      </xdr:spPr>
    </xdr:pic>
    <xdr:clientData/>
  </xdr:twoCellAnchor>
  <xdr:twoCellAnchor editAs="oneCell">
    <xdr:from>
      <xdr:col>7</xdr:col>
      <xdr:colOff>440955</xdr:colOff>
      <xdr:row>12</xdr:row>
      <xdr:rowOff>158425</xdr:rowOff>
    </xdr:from>
    <xdr:to>
      <xdr:col>8</xdr:col>
      <xdr:colOff>281729</xdr:colOff>
      <xdr:row>15</xdr:row>
      <xdr:rowOff>37299</xdr:rowOff>
    </xdr:to>
    <xdr:pic>
      <xdr:nvPicPr>
        <xdr:cNvPr id="29" name="Picture 28" descr="A black background with a black square&#10;&#10;AI-generated content may be incorrect.">
          <a:extLst>
            <a:ext uri="{FF2B5EF4-FFF2-40B4-BE49-F238E27FC236}">
              <a16:creationId xmlns:a16="http://schemas.microsoft.com/office/drawing/2014/main" id="{087E4E4C-866D-467A-79DF-4DACE70F57C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708155" y="2444425"/>
          <a:ext cx="450374" cy="450374"/>
        </a:xfrm>
        <a:prstGeom prst="rect">
          <a:avLst/>
        </a:prstGeom>
      </xdr:spPr>
    </xdr:pic>
    <xdr:clientData/>
  </xdr:twoCellAnchor>
  <xdr:twoCellAnchor editAs="oneCell">
    <xdr:from>
      <xdr:col>18</xdr:col>
      <xdr:colOff>530890</xdr:colOff>
      <xdr:row>13</xdr:row>
      <xdr:rowOff>62790</xdr:rowOff>
    </xdr:from>
    <xdr:to>
      <xdr:col>19</xdr:col>
      <xdr:colOff>318227</xdr:colOff>
      <xdr:row>15</xdr:row>
      <xdr:rowOff>78727</xdr:rowOff>
    </xdr:to>
    <xdr:pic>
      <xdr:nvPicPr>
        <xdr:cNvPr id="30" name="Picture 29" descr="A black background with a black square&#10;&#10;AI-generated content may be incorrect.">
          <a:extLst>
            <a:ext uri="{FF2B5EF4-FFF2-40B4-BE49-F238E27FC236}">
              <a16:creationId xmlns:a16="http://schemas.microsoft.com/office/drawing/2014/main" id="{D5CDF47F-B7CD-0130-548B-C5589838F08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503690" y="2539290"/>
          <a:ext cx="396937" cy="396937"/>
        </a:xfrm>
        <a:prstGeom prst="rect">
          <a:avLst/>
        </a:prstGeom>
      </xdr:spPr>
    </xdr:pic>
    <xdr:clientData/>
  </xdr:twoCellAnchor>
  <xdr:twoCellAnchor>
    <xdr:from>
      <xdr:col>8</xdr:col>
      <xdr:colOff>317500</xdr:colOff>
      <xdr:row>12</xdr:row>
      <xdr:rowOff>15875</xdr:rowOff>
    </xdr:from>
    <xdr:to>
      <xdr:col>10</xdr:col>
      <xdr:colOff>412750</xdr:colOff>
      <xdr:row>14</xdr:row>
      <xdr:rowOff>111125</xdr:rowOff>
    </xdr:to>
    <xdr:sp macro="" textlink="Income">
      <xdr:nvSpPr>
        <xdr:cNvPr id="31" name="TextBox 30">
          <a:extLst>
            <a:ext uri="{FF2B5EF4-FFF2-40B4-BE49-F238E27FC236}">
              <a16:creationId xmlns:a16="http://schemas.microsoft.com/office/drawing/2014/main" id="{05F52DE8-6F3F-89D0-70F1-9AF275259770}"/>
            </a:ext>
          </a:extLst>
        </xdr:cNvPr>
        <xdr:cNvSpPr txBox="1"/>
      </xdr:nvSpPr>
      <xdr:spPr>
        <a:xfrm>
          <a:off x="5143500" y="2301875"/>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0EEA60-7FC9-4FAC-A5DA-00F365144AE9}" type="TxLink">
            <a:rPr lang="en-US" sz="2800" b="0" i="0" u="none" strike="noStrike">
              <a:solidFill>
                <a:srgbClr val="000000"/>
              </a:solidFill>
              <a:latin typeface="Aptos Narrow"/>
            </a:rPr>
            <a:pPr/>
            <a:t>$57M</a:t>
          </a:fld>
          <a:endParaRPr lang="en-NG" sz="2800"/>
        </a:p>
      </xdr:txBody>
    </xdr:sp>
    <xdr:clientData/>
  </xdr:twoCellAnchor>
  <xdr:twoCellAnchor>
    <xdr:from>
      <xdr:col>12</xdr:col>
      <xdr:colOff>73025</xdr:colOff>
      <xdr:row>12</xdr:row>
      <xdr:rowOff>57150</xdr:rowOff>
    </xdr:from>
    <xdr:to>
      <xdr:col>14</xdr:col>
      <xdr:colOff>168275</xdr:colOff>
      <xdr:row>14</xdr:row>
      <xdr:rowOff>152400</xdr:rowOff>
    </xdr:to>
    <xdr:sp macro="" textlink="AvgIncome">
      <xdr:nvSpPr>
        <xdr:cNvPr id="32" name="TextBox 31">
          <a:extLst>
            <a:ext uri="{FF2B5EF4-FFF2-40B4-BE49-F238E27FC236}">
              <a16:creationId xmlns:a16="http://schemas.microsoft.com/office/drawing/2014/main" id="{30243832-D73F-45B7-A98C-3D14D80D9EB7}"/>
            </a:ext>
          </a:extLst>
        </xdr:cNvPr>
        <xdr:cNvSpPr txBox="1"/>
      </xdr:nvSpPr>
      <xdr:spPr>
        <a:xfrm>
          <a:off x="7312025" y="2343150"/>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4E7D34-3D4A-413A-88F5-F4A4FD88D512}" type="TxLink">
            <a:rPr lang="en-US" sz="2800" b="0" i="0" u="none" strike="noStrike">
              <a:solidFill>
                <a:srgbClr val="000000"/>
              </a:solidFill>
              <a:latin typeface="Aptos Narrow"/>
            </a:rPr>
            <a:pPr/>
            <a:t>$114K</a:t>
          </a:fld>
          <a:endParaRPr lang="en-NG" sz="6000"/>
        </a:p>
      </xdr:txBody>
    </xdr:sp>
    <xdr:clientData/>
  </xdr:twoCellAnchor>
  <xdr:twoCellAnchor>
    <xdr:from>
      <xdr:col>5</xdr:col>
      <xdr:colOff>3175</xdr:colOff>
      <xdr:row>12</xdr:row>
      <xdr:rowOff>50800</xdr:rowOff>
    </xdr:from>
    <xdr:to>
      <xdr:col>7</xdr:col>
      <xdr:colOff>98425</xdr:colOff>
      <xdr:row>14</xdr:row>
      <xdr:rowOff>146050</xdr:rowOff>
    </xdr:to>
    <xdr:sp macro="" textlink="Customer">
      <xdr:nvSpPr>
        <xdr:cNvPr id="33" name="TextBox 32">
          <a:extLst>
            <a:ext uri="{FF2B5EF4-FFF2-40B4-BE49-F238E27FC236}">
              <a16:creationId xmlns:a16="http://schemas.microsoft.com/office/drawing/2014/main" id="{7AE62E2A-8E6B-4E05-BDE8-EBE591D7CA7B}"/>
            </a:ext>
          </a:extLst>
        </xdr:cNvPr>
        <xdr:cNvSpPr txBox="1"/>
      </xdr:nvSpPr>
      <xdr:spPr>
        <a:xfrm>
          <a:off x="3019425" y="2336800"/>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4DAB4C-B6BC-4E2A-8ABB-828DB683C0CB}" type="TxLink">
            <a:rPr lang="en-US" sz="2800" b="0" i="0" u="none" strike="noStrike">
              <a:solidFill>
                <a:srgbClr val="000000"/>
              </a:solidFill>
              <a:latin typeface="Aptos Narrow"/>
            </a:rPr>
            <a:pPr/>
            <a:t>500</a:t>
          </a:fld>
          <a:endParaRPr lang="en-NG" sz="6000"/>
        </a:p>
      </xdr:txBody>
    </xdr:sp>
    <xdr:clientData/>
  </xdr:twoCellAnchor>
  <xdr:twoCellAnchor>
    <xdr:from>
      <xdr:col>19</xdr:col>
      <xdr:colOff>523390</xdr:colOff>
      <xdr:row>12</xdr:row>
      <xdr:rowOff>43912</xdr:rowOff>
    </xdr:from>
    <xdr:to>
      <xdr:col>22</xdr:col>
      <xdr:colOff>5165</xdr:colOff>
      <xdr:row>14</xdr:row>
      <xdr:rowOff>139162</xdr:rowOff>
    </xdr:to>
    <xdr:sp macro="" textlink="AvgTenure">
      <xdr:nvSpPr>
        <xdr:cNvPr id="34" name="TextBox 33">
          <a:extLst>
            <a:ext uri="{FF2B5EF4-FFF2-40B4-BE49-F238E27FC236}">
              <a16:creationId xmlns:a16="http://schemas.microsoft.com/office/drawing/2014/main" id="{E26FC74A-4E19-485E-BAF0-F0931EB95926}"/>
            </a:ext>
          </a:extLst>
        </xdr:cNvPr>
        <xdr:cNvSpPr txBox="1"/>
      </xdr:nvSpPr>
      <xdr:spPr>
        <a:xfrm>
          <a:off x="12179407" y="2368658"/>
          <a:ext cx="1322199" cy="48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E9BA79-C0BD-4A54-90CA-22529B3257C2}" type="TxLink">
            <a:rPr lang="en-US" sz="2800" b="0" i="0" u="none" strike="noStrike">
              <a:solidFill>
                <a:srgbClr val="000000"/>
              </a:solidFill>
              <a:latin typeface="Aptos Narrow"/>
            </a:rPr>
            <a:pPr/>
            <a:t>5</a:t>
          </a:fld>
          <a:endParaRPr lang="en-NG" sz="13800"/>
        </a:p>
      </xdr:txBody>
    </xdr:sp>
    <xdr:clientData/>
  </xdr:twoCellAnchor>
  <xdr:twoCellAnchor>
    <xdr:from>
      <xdr:col>15</xdr:col>
      <xdr:colOff>522852</xdr:colOff>
      <xdr:row>12</xdr:row>
      <xdr:rowOff>37454</xdr:rowOff>
    </xdr:from>
    <xdr:to>
      <xdr:col>18</xdr:col>
      <xdr:colOff>4628</xdr:colOff>
      <xdr:row>14</xdr:row>
      <xdr:rowOff>132704</xdr:rowOff>
    </xdr:to>
    <xdr:sp macro="" textlink="averageage">
      <xdr:nvSpPr>
        <xdr:cNvPr id="35" name="TextBox 34">
          <a:extLst>
            <a:ext uri="{FF2B5EF4-FFF2-40B4-BE49-F238E27FC236}">
              <a16:creationId xmlns:a16="http://schemas.microsoft.com/office/drawing/2014/main" id="{D91187DD-A725-4F6C-9E66-EFA8392E7B1A}"/>
            </a:ext>
          </a:extLst>
        </xdr:cNvPr>
        <xdr:cNvSpPr txBox="1"/>
      </xdr:nvSpPr>
      <xdr:spPr>
        <a:xfrm>
          <a:off x="9724971" y="2362200"/>
          <a:ext cx="1322199" cy="48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B6EF6D-0F85-46A1-AFBD-7F8D15B51A7A}" type="TxLink">
            <a:rPr lang="en-US" sz="2800" b="0" i="0" u="none" strike="noStrike">
              <a:solidFill>
                <a:srgbClr val="000000"/>
              </a:solidFill>
              <a:latin typeface="Aptos Narrow"/>
            </a:rPr>
            <a:pPr/>
            <a:t>46</a:t>
          </a:fld>
          <a:endParaRPr lang="en-NG" sz="49600"/>
        </a:p>
      </xdr:txBody>
    </xdr:sp>
    <xdr:clientData/>
  </xdr:twoCellAnchor>
  <xdr:twoCellAnchor>
    <xdr:from>
      <xdr:col>4</xdr:col>
      <xdr:colOff>129154</xdr:colOff>
      <xdr:row>18</xdr:row>
      <xdr:rowOff>129152</xdr:rowOff>
    </xdr:from>
    <xdr:to>
      <xdr:col>11</xdr:col>
      <xdr:colOff>1</xdr:colOff>
      <xdr:row>28</xdr:row>
      <xdr:rowOff>177583</xdr:rowOff>
    </xdr:to>
    <xdr:graphicFrame macro="">
      <xdr:nvGraphicFramePr>
        <xdr:cNvPr id="36" name="Chart 35">
          <a:extLst>
            <a:ext uri="{FF2B5EF4-FFF2-40B4-BE49-F238E27FC236}">
              <a16:creationId xmlns:a16="http://schemas.microsoft.com/office/drawing/2014/main" id="{AF979D08-5990-4AE7-AC57-AD5CEC02F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63500</xdr:colOff>
      <xdr:row>31</xdr:row>
      <xdr:rowOff>95251</xdr:rowOff>
    </xdr:from>
    <xdr:to>
      <xdr:col>11</xdr:col>
      <xdr:colOff>254000</xdr:colOff>
      <xdr:row>41</xdr:row>
      <xdr:rowOff>174625</xdr:rowOff>
    </xdr:to>
    <xdr:graphicFrame macro="">
      <xdr:nvGraphicFramePr>
        <xdr:cNvPr id="37" name="Chart 36">
          <a:extLst>
            <a:ext uri="{FF2B5EF4-FFF2-40B4-BE49-F238E27FC236}">
              <a16:creationId xmlns:a16="http://schemas.microsoft.com/office/drawing/2014/main" id="{5CAF0F84-109E-4E16-AC2A-CA2B40655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111125</xdr:colOff>
      <xdr:row>30</xdr:row>
      <xdr:rowOff>95251</xdr:rowOff>
    </xdr:from>
    <xdr:to>
      <xdr:col>17</xdr:col>
      <xdr:colOff>47625</xdr:colOff>
      <xdr:row>42</xdr:row>
      <xdr:rowOff>31751</xdr:rowOff>
    </xdr:to>
    <xdr:graphicFrame macro="">
      <xdr:nvGraphicFramePr>
        <xdr:cNvPr id="38" name="Chart 37">
          <a:extLst>
            <a:ext uri="{FF2B5EF4-FFF2-40B4-BE49-F238E27FC236}">
              <a16:creationId xmlns:a16="http://schemas.microsoft.com/office/drawing/2014/main" id="{9EF4A283-B824-4A2C-876A-93EF79A0B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285750</xdr:colOff>
      <xdr:row>19</xdr:row>
      <xdr:rowOff>95250</xdr:rowOff>
    </xdr:from>
    <xdr:to>
      <xdr:col>16</xdr:col>
      <xdr:colOff>535782</xdr:colOff>
      <xdr:row>30</xdr:row>
      <xdr:rowOff>47625</xdr:rowOff>
    </xdr:to>
    <xdr:graphicFrame macro="">
      <xdr:nvGraphicFramePr>
        <xdr:cNvPr id="39" name="Chart 38">
          <a:extLst>
            <a:ext uri="{FF2B5EF4-FFF2-40B4-BE49-F238E27FC236}">
              <a16:creationId xmlns:a16="http://schemas.microsoft.com/office/drawing/2014/main" id="{461BCD36-94AE-406B-B5E0-CF73742C1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571499</xdr:colOff>
      <xdr:row>17</xdr:row>
      <xdr:rowOff>138544</xdr:rowOff>
    </xdr:from>
    <xdr:to>
      <xdr:col>22</xdr:col>
      <xdr:colOff>294408</xdr:colOff>
      <xdr:row>29</xdr:row>
      <xdr:rowOff>86591</xdr:rowOff>
    </xdr:to>
    <xdr:graphicFrame macro="">
      <xdr:nvGraphicFramePr>
        <xdr:cNvPr id="40" name="Chart 39">
          <a:extLst>
            <a:ext uri="{FF2B5EF4-FFF2-40B4-BE49-F238E27FC236}">
              <a16:creationId xmlns:a16="http://schemas.microsoft.com/office/drawing/2014/main" id="{41879E47-CDA6-4D95-85D5-2D12CD346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245806</xdr:colOff>
      <xdr:row>21</xdr:row>
      <xdr:rowOff>61450</xdr:rowOff>
    </xdr:from>
    <xdr:to>
      <xdr:col>20</xdr:col>
      <xdr:colOff>46088</xdr:colOff>
      <xdr:row>23</xdr:row>
      <xdr:rowOff>98173</xdr:rowOff>
    </xdr:to>
    <xdr:sp macro="" textlink="">
      <xdr:nvSpPr>
        <xdr:cNvPr id="41" name="TextBox 22">
          <a:extLst>
            <a:ext uri="{FF2B5EF4-FFF2-40B4-BE49-F238E27FC236}">
              <a16:creationId xmlns:a16="http://schemas.microsoft.com/office/drawing/2014/main" id="{DFCFD766-61D6-4C0D-B9E1-91854D4BAE9B}"/>
            </a:ext>
          </a:extLst>
        </xdr:cNvPr>
        <xdr:cNvSpPr txBox="1"/>
      </xdr:nvSpPr>
      <xdr:spPr>
        <a:xfrm>
          <a:off x="11307096" y="3932902"/>
          <a:ext cx="1029315" cy="40543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000" b="1" i="0"/>
            <a:t>LOYAL</a:t>
          </a:r>
          <a:endParaRPr lang="en-NG" sz="2000" b="1" i="0"/>
        </a:p>
      </xdr:txBody>
    </xdr:sp>
    <xdr:clientData/>
  </xdr:twoCellAnchor>
  <xdr:twoCellAnchor>
    <xdr:from>
      <xdr:col>18</xdr:col>
      <xdr:colOff>413527</xdr:colOff>
      <xdr:row>22</xdr:row>
      <xdr:rowOff>167763</xdr:rowOff>
    </xdr:from>
    <xdr:to>
      <xdr:col>19</xdr:col>
      <xdr:colOff>567198</xdr:colOff>
      <xdr:row>25</xdr:row>
      <xdr:rowOff>20130</xdr:rowOff>
    </xdr:to>
    <xdr:sp macro="" textlink="loyal">
      <xdr:nvSpPr>
        <xdr:cNvPr id="42" name="TextBox 22">
          <a:extLst>
            <a:ext uri="{FF2B5EF4-FFF2-40B4-BE49-F238E27FC236}">
              <a16:creationId xmlns:a16="http://schemas.microsoft.com/office/drawing/2014/main" id="{0F4FA9E4-0DA6-4813-B0E1-7BDD767D78F2}"/>
            </a:ext>
          </a:extLst>
        </xdr:cNvPr>
        <xdr:cNvSpPr txBox="1"/>
      </xdr:nvSpPr>
      <xdr:spPr>
        <a:xfrm>
          <a:off x="11474817" y="4223569"/>
          <a:ext cx="768187" cy="40543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7CC4D75F-C600-4955-A55E-5B2087D81EBF}" type="TxLink">
            <a:rPr lang="en-US" sz="2000" b="1" i="0" u="none" strike="noStrike">
              <a:solidFill>
                <a:srgbClr val="000000"/>
              </a:solidFill>
              <a:latin typeface="Aptos Narrow"/>
            </a:rPr>
            <a:pPr/>
            <a:t>164</a:t>
          </a:fld>
          <a:endParaRPr lang="en-NG" sz="2800" b="1"/>
        </a:p>
      </xdr:txBody>
    </xdr:sp>
    <xdr:clientData/>
  </xdr:twoCellAnchor>
  <xdr:twoCellAnchor>
    <xdr:from>
      <xdr:col>16</xdr:col>
      <xdr:colOff>583790</xdr:colOff>
      <xdr:row>30</xdr:row>
      <xdr:rowOff>108565</xdr:rowOff>
    </xdr:from>
    <xdr:to>
      <xdr:col>22</xdr:col>
      <xdr:colOff>228249</xdr:colOff>
      <xdr:row>42</xdr:row>
      <xdr:rowOff>87446</xdr:rowOff>
    </xdr:to>
    <xdr:graphicFrame macro="">
      <xdr:nvGraphicFramePr>
        <xdr:cNvPr id="43" name="Chart 42">
          <a:extLst>
            <a:ext uri="{FF2B5EF4-FFF2-40B4-BE49-F238E27FC236}">
              <a16:creationId xmlns:a16="http://schemas.microsoft.com/office/drawing/2014/main" id="{20DC5BF7-FE39-4425-9EDB-5244681A9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161425</xdr:colOff>
      <xdr:row>29</xdr:row>
      <xdr:rowOff>101201</xdr:rowOff>
    </xdr:from>
    <xdr:to>
      <xdr:col>21</xdr:col>
      <xdr:colOff>416213</xdr:colOff>
      <xdr:row>31</xdr:row>
      <xdr:rowOff>78035</xdr:rowOff>
    </xdr:to>
    <xdr:sp macro="" textlink="">
      <xdr:nvSpPr>
        <xdr:cNvPr id="44" name="TextBox 28">
          <a:extLst>
            <a:ext uri="{FF2B5EF4-FFF2-40B4-BE49-F238E27FC236}">
              <a16:creationId xmlns:a16="http://schemas.microsoft.com/office/drawing/2014/main" id="{71EDC5C4-FA6E-49D1-943E-FC59D22B5964}"/>
            </a:ext>
          </a:extLst>
        </xdr:cNvPr>
        <xdr:cNvSpPr txBox="1"/>
      </xdr:nvSpPr>
      <xdr:spPr>
        <a:xfrm>
          <a:off x="10416675" y="5625701"/>
          <a:ext cx="2667788" cy="357834"/>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Segment</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Analysis</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606482</xdr:colOff>
      <xdr:row>8</xdr:row>
      <xdr:rowOff>63500</xdr:rowOff>
    </xdr:from>
    <xdr:to>
      <xdr:col>12</xdr:col>
      <xdr:colOff>304856</xdr:colOff>
      <xdr:row>10</xdr:row>
      <xdr:rowOff>174625</xdr:rowOff>
    </xdr:to>
    <xdr:sp macro="" textlink="">
      <xdr:nvSpPr>
        <xdr:cNvPr id="45" name="TextBox 44">
          <a:extLst>
            <a:ext uri="{FF2B5EF4-FFF2-40B4-BE49-F238E27FC236}">
              <a16:creationId xmlns:a16="http://schemas.microsoft.com/office/drawing/2014/main" id="{814288C4-EC4D-4362-542F-FA6DFDD2D682}"/>
            </a:ext>
          </a:extLst>
        </xdr:cNvPr>
        <xdr:cNvSpPr txBox="1"/>
      </xdr:nvSpPr>
      <xdr:spPr>
        <a:xfrm>
          <a:off x="2446906" y="1613331"/>
          <a:ext cx="5219645" cy="498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latin typeface="Calibri" panose="020F0502020204030204" pitchFamily="34" charset="0"/>
              <a:ea typeface="Calibri" panose="020F0502020204030204" pitchFamily="34" charset="0"/>
              <a:cs typeface="Calibri" panose="020F0502020204030204" pitchFamily="34" charset="0"/>
            </a:rPr>
            <a:t>MetroBank</a:t>
          </a:r>
          <a:r>
            <a:rPr lang="en-GB" sz="2800" baseline="0">
              <a:solidFill>
                <a:schemeClr val="bg1"/>
              </a:solidFill>
              <a:latin typeface="Calibri" panose="020F0502020204030204" pitchFamily="34" charset="0"/>
              <a:ea typeface="Calibri" panose="020F0502020204030204" pitchFamily="34" charset="0"/>
              <a:cs typeface="Calibri" panose="020F0502020204030204" pitchFamily="34" charset="0"/>
            </a:rPr>
            <a:t> Customer Insights</a:t>
          </a:r>
          <a:endParaRPr lang="en-NG" sz="2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31750</xdr:colOff>
      <xdr:row>8</xdr:row>
      <xdr:rowOff>0</xdr:rowOff>
    </xdr:from>
    <xdr:to>
      <xdr:col>4</xdr:col>
      <xdr:colOff>15875</xdr:colOff>
      <xdr:row>11</xdr:row>
      <xdr:rowOff>114198</xdr:rowOff>
    </xdr:to>
    <xdr:pic>
      <xdr:nvPicPr>
        <xdr:cNvPr id="48" name="Picture 47">
          <a:extLst>
            <a:ext uri="{FF2B5EF4-FFF2-40B4-BE49-F238E27FC236}">
              <a16:creationId xmlns:a16="http://schemas.microsoft.com/office/drawing/2014/main" id="{552A7C79-8DA0-233A-D70B-6CC7B4DD9DA9}"/>
            </a:ext>
          </a:extLst>
        </xdr:cNvPr>
        <xdr:cNvPicPr>
          <a:picLocks noChangeAspect="1"/>
        </xdr:cNvPicPr>
      </xdr:nvPicPr>
      <xdr:blipFill>
        <a:blip xmlns:r="http://schemas.openxmlformats.org/officeDocument/2006/relationships" r:embed="rId15">
          <a:lum bright="70000" contrast="-70000"/>
          <a:extLst>
            <a:ext uri="{28A0092B-C50C-407E-A947-70E740481C1C}">
              <a14:useLocalDpi xmlns:a14="http://schemas.microsoft.com/office/drawing/2010/main" val="0"/>
            </a:ext>
          </a:extLst>
        </a:blip>
        <a:stretch>
          <a:fillRect/>
        </a:stretch>
      </xdr:blipFill>
      <xdr:spPr>
        <a:xfrm>
          <a:off x="1841500" y="1524000"/>
          <a:ext cx="587375" cy="6856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8</xdr:row>
      <xdr:rowOff>0</xdr:rowOff>
    </xdr:from>
    <xdr:to>
      <xdr:col>34</xdr:col>
      <xdr:colOff>547687</xdr:colOff>
      <xdr:row>58</xdr:row>
      <xdr:rowOff>71437</xdr:rowOff>
    </xdr:to>
    <xdr:grpSp>
      <xdr:nvGrpSpPr>
        <xdr:cNvPr id="20" name="Group 19">
          <a:extLst>
            <a:ext uri="{FF2B5EF4-FFF2-40B4-BE49-F238E27FC236}">
              <a16:creationId xmlns:a16="http://schemas.microsoft.com/office/drawing/2014/main" id="{A51DE47A-5C16-662A-72D3-A28B07D8C3C8}"/>
            </a:ext>
          </a:extLst>
        </xdr:cNvPr>
        <xdr:cNvGrpSpPr/>
      </xdr:nvGrpSpPr>
      <xdr:grpSpPr>
        <a:xfrm>
          <a:off x="3673929" y="1451429"/>
          <a:ext cx="17692687" cy="9142865"/>
          <a:chOff x="234286" y="218366"/>
          <a:chExt cx="11723427" cy="6523630"/>
        </a:xfrm>
      </xdr:grpSpPr>
      <xdr:sp macro="" textlink="">
        <xdr:nvSpPr>
          <xdr:cNvPr id="21" name="Rectangle 20">
            <a:extLst>
              <a:ext uri="{FF2B5EF4-FFF2-40B4-BE49-F238E27FC236}">
                <a16:creationId xmlns:a16="http://schemas.microsoft.com/office/drawing/2014/main" id="{61A6F751-CA25-9E8B-7696-82D8938EE436}"/>
              </a:ext>
            </a:extLst>
          </xdr:cNvPr>
          <xdr:cNvSpPr/>
        </xdr:nvSpPr>
        <xdr:spPr>
          <a:xfrm>
            <a:off x="234286" y="218366"/>
            <a:ext cx="11723427" cy="6523630"/>
          </a:xfrm>
          <a:prstGeom prst="rect">
            <a:avLst/>
          </a:prstGeom>
          <a:solidFill>
            <a:schemeClr val="bg1">
              <a:alpha val="9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2" name="Rectangle 21">
            <a:extLst>
              <a:ext uri="{FF2B5EF4-FFF2-40B4-BE49-F238E27FC236}">
                <a16:creationId xmlns:a16="http://schemas.microsoft.com/office/drawing/2014/main" id="{18631148-243C-75B3-A3BE-FB34EFC8A217}"/>
              </a:ext>
            </a:extLst>
          </xdr:cNvPr>
          <xdr:cNvSpPr/>
        </xdr:nvSpPr>
        <xdr:spPr>
          <a:xfrm>
            <a:off x="234287" y="218366"/>
            <a:ext cx="1621810" cy="6523630"/>
          </a:xfrm>
          <a:prstGeom prst="rect">
            <a:avLst/>
          </a:prstGeom>
          <a:gradFill>
            <a:gsLst>
              <a:gs pos="0">
                <a:schemeClr val="tx1">
                  <a:lumMod val="51000"/>
                  <a:lumOff val="49000"/>
                </a:schemeClr>
              </a:gs>
              <a:gs pos="74000">
                <a:schemeClr val="accent1">
                  <a:lumMod val="45000"/>
                  <a:lumOff val="55000"/>
                </a:schemeClr>
              </a:gs>
              <a:gs pos="29205">
                <a:srgbClr val="6FA1B8"/>
              </a:gs>
              <a:gs pos="45000">
                <a:srgbClr val="75BBDB">
                  <a:lumMod val="95000"/>
                </a:srgbClr>
              </a:gs>
              <a:gs pos="83000">
                <a:schemeClr val="accent1">
                  <a:lumMod val="37000"/>
                  <a:lumOff val="63000"/>
                </a:schemeClr>
              </a:gs>
              <a:gs pos="93805">
                <a:schemeClr val="accent1">
                  <a:lumMod val="42000"/>
                  <a:lumOff val="58000"/>
                </a:schemeClr>
              </a:gs>
              <a:gs pos="80000">
                <a:schemeClr val="accent1">
                  <a:lumMod val="34000"/>
                  <a:lumOff val="66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3" name="Rectangle 22">
            <a:extLst>
              <a:ext uri="{FF2B5EF4-FFF2-40B4-BE49-F238E27FC236}">
                <a16:creationId xmlns:a16="http://schemas.microsoft.com/office/drawing/2014/main" id="{0C67B8A5-4001-2FED-B538-C95D0E08A25C}"/>
              </a:ext>
            </a:extLst>
          </xdr:cNvPr>
          <xdr:cNvSpPr/>
        </xdr:nvSpPr>
        <xdr:spPr>
          <a:xfrm>
            <a:off x="2074458" y="811248"/>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4" name="Rectangle 23">
            <a:extLst>
              <a:ext uri="{FF2B5EF4-FFF2-40B4-BE49-F238E27FC236}">
                <a16:creationId xmlns:a16="http://schemas.microsoft.com/office/drawing/2014/main" id="{AA1496DF-69F7-57B4-3FCA-E11C0635B62E}"/>
              </a:ext>
            </a:extLst>
          </xdr:cNvPr>
          <xdr:cNvSpPr/>
        </xdr:nvSpPr>
        <xdr:spPr>
          <a:xfrm>
            <a:off x="7892958"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5" name="Rectangle 24">
            <a:extLst>
              <a:ext uri="{FF2B5EF4-FFF2-40B4-BE49-F238E27FC236}">
                <a16:creationId xmlns:a16="http://schemas.microsoft.com/office/drawing/2014/main" id="{077938C5-740F-8DED-BA03-4DA9E2EFDD81}"/>
              </a:ext>
            </a:extLst>
          </xdr:cNvPr>
          <xdr:cNvSpPr/>
        </xdr:nvSpPr>
        <xdr:spPr>
          <a:xfrm>
            <a:off x="4001069"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6" name="Rectangle 25">
            <a:extLst>
              <a:ext uri="{FF2B5EF4-FFF2-40B4-BE49-F238E27FC236}">
                <a16:creationId xmlns:a16="http://schemas.microsoft.com/office/drawing/2014/main" id="{B978CD4F-AED1-F782-3200-F14A8F208832}"/>
              </a:ext>
            </a:extLst>
          </xdr:cNvPr>
          <xdr:cNvSpPr/>
        </xdr:nvSpPr>
        <xdr:spPr>
          <a:xfrm>
            <a:off x="5949284"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7" name="Rectangle 26">
            <a:extLst>
              <a:ext uri="{FF2B5EF4-FFF2-40B4-BE49-F238E27FC236}">
                <a16:creationId xmlns:a16="http://schemas.microsoft.com/office/drawing/2014/main" id="{AE6890FA-5EE7-6FBD-EDE6-1BB392D43F3E}"/>
              </a:ext>
            </a:extLst>
          </xdr:cNvPr>
          <xdr:cNvSpPr/>
        </xdr:nvSpPr>
        <xdr:spPr>
          <a:xfrm>
            <a:off x="9854821"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8" name="Rectangle 27">
            <a:extLst>
              <a:ext uri="{FF2B5EF4-FFF2-40B4-BE49-F238E27FC236}">
                <a16:creationId xmlns:a16="http://schemas.microsoft.com/office/drawing/2014/main" id="{5820B488-C144-DC39-FB11-23F027B1FF2D}"/>
              </a:ext>
            </a:extLst>
          </xdr:cNvPr>
          <xdr:cNvSpPr/>
        </xdr:nvSpPr>
        <xdr:spPr>
          <a:xfrm>
            <a:off x="2074458" y="1891958"/>
            <a:ext cx="3548422" cy="2258699"/>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30" name="Rectangle 29">
            <a:extLst>
              <a:ext uri="{FF2B5EF4-FFF2-40B4-BE49-F238E27FC236}">
                <a16:creationId xmlns:a16="http://schemas.microsoft.com/office/drawing/2014/main" id="{5997BD37-5435-3C86-986F-80266BA520B8}"/>
              </a:ext>
            </a:extLst>
          </xdr:cNvPr>
          <xdr:cNvSpPr/>
        </xdr:nvSpPr>
        <xdr:spPr>
          <a:xfrm>
            <a:off x="5826143" y="1908145"/>
            <a:ext cx="5679747" cy="2258699"/>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31" name="Rectangle 30">
            <a:extLst>
              <a:ext uri="{FF2B5EF4-FFF2-40B4-BE49-F238E27FC236}">
                <a16:creationId xmlns:a16="http://schemas.microsoft.com/office/drawing/2014/main" id="{B77C0EAF-288C-62A1-E51D-4D2E8B7B4839}"/>
              </a:ext>
            </a:extLst>
          </xdr:cNvPr>
          <xdr:cNvSpPr/>
        </xdr:nvSpPr>
        <xdr:spPr>
          <a:xfrm>
            <a:off x="2074458" y="4239374"/>
            <a:ext cx="3568892" cy="2415656"/>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grpSp>
    <xdr:clientData/>
  </xdr:twoCellAnchor>
  <xdr:twoCellAnchor>
    <xdr:from>
      <xdr:col>10</xdr:col>
      <xdr:colOff>380998</xdr:colOff>
      <xdr:row>21</xdr:row>
      <xdr:rowOff>-1</xdr:rowOff>
    </xdr:from>
    <xdr:to>
      <xdr:col>19</xdr:col>
      <xdr:colOff>190499</xdr:colOff>
      <xdr:row>38</xdr:row>
      <xdr:rowOff>71436</xdr:rowOff>
    </xdr:to>
    <xdr:graphicFrame macro="">
      <xdr:nvGraphicFramePr>
        <xdr:cNvPr id="32" name="Chart 31">
          <a:extLst>
            <a:ext uri="{FF2B5EF4-FFF2-40B4-BE49-F238E27FC236}">
              <a16:creationId xmlns:a16="http://schemas.microsoft.com/office/drawing/2014/main" id="{D6D96430-EA90-41B8-A8B8-1234419E5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360086</xdr:colOff>
      <xdr:row>20</xdr:row>
      <xdr:rowOff>142875</xdr:rowOff>
    </xdr:from>
    <xdr:to>
      <xdr:col>17</xdr:col>
      <xdr:colOff>241024</xdr:colOff>
      <xdr:row>23</xdr:row>
      <xdr:rowOff>47625</xdr:rowOff>
    </xdr:to>
    <xdr:sp macro="" textlink="">
      <xdr:nvSpPr>
        <xdr:cNvPr id="33" name="TextBox 32">
          <a:extLst>
            <a:ext uri="{FF2B5EF4-FFF2-40B4-BE49-F238E27FC236}">
              <a16:creationId xmlns:a16="http://schemas.microsoft.com/office/drawing/2014/main" id="{5575DA9D-8687-D47B-447A-8C825A5FDFE4}"/>
            </a:ext>
          </a:extLst>
        </xdr:cNvPr>
        <xdr:cNvSpPr txBox="1"/>
      </xdr:nvSpPr>
      <xdr:spPr>
        <a:xfrm>
          <a:off x="7608379" y="3859948"/>
          <a:ext cx="2901060" cy="462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Account Type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452437</xdr:colOff>
      <xdr:row>15</xdr:row>
      <xdr:rowOff>142872</xdr:rowOff>
    </xdr:from>
    <xdr:to>
      <xdr:col>14</xdr:col>
      <xdr:colOff>428625</xdr:colOff>
      <xdr:row>19</xdr:row>
      <xdr:rowOff>71437</xdr:rowOff>
    </xdr:to>
    <xdr:sp macro="" textlink="TotalDeposit">
      <xdr:nvSpPr>
        <xdr:cNvPr id="34" name="TextBox 33">
          <a:extLst>
            <a:ext uri="{FF2B5EF4-FFF2-40B4-BE49-F238E27FC236}">
              <a16:creationId xmlns:a16="http://schemas.microsoft.com/office/drawing/2014/main" id="{A2989D66-0198-9F19-91E3-E0272F3FABA5}"/>
            </a:ext>
          </a:extLst>
        </xdr:cNvPr>
        <xdr:cNvSpPr txBox="1"/>
      </xdr:nvSpPr>
      <xdr:spPr>
        <a:xfrm>
          <a:off x="6643687" y="3000372"/>
          <a:ext cx="2452688" cy="69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D3A296-3EBF-4C28-B4A8-6EBD241E94C5}" type="TxLink">
            <a:rPr lang="en-US" sz="3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$212.3M</a:t>
          </a:fld>
          <a:endParaRPr lang="en-NG" sz="96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523875</xdr:colOff>
      <xdr:row>13</xdr:row>
      <xdr:rowOff>23812</xdr:rowOff>
    </xdr:from>
    <xdr:to>
      <xdr:col>14</xdr:col>
      <xdr:colOff>214312</xdr:colOff>
      <xdr:row>16</xdr:row>
      <xdr:rowOff>90714</xdr:rowOff>
    </xdr:to>
    <xdr:sp macro="" textlink="">
      <xdr:nvSpPr>
        <xdr:cNvPr id="2" name="TextBox 1">
          <a:extLst>
            <a:ext uri="{FF2B5EF4-FFF2-40B4-BE49-F238E27FC236}">
              <a16:creationId xmlns:a16="http://schemas.microsoft.com/office/drawing/2014/main" id="{A3C15B48-7175-ADE2-5834-B160F750A885}"/>
            </a:ext>
          </a:extLst>
        </xdr:cNvPr>
        <xdr:cNvSpPr txBox="1"/>
      </xdr:nvSpPr>
      <xdr:spPr>
        <a:xfrm>
          <a:off x="6647089" y="2382383"/>
          <a:ext cx="2139723" cy="611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Total Deposit</a:t>
          </a:r>
        </a:p>
        <a:p>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152396</xdr:colOff>
      <xdr:row>15</xdr:row>
      <xdr:rowOff>33336</xdr:rowOff>
    </xdr:from>
    <xdr:to>
      <xdr:col>18</xdr:col>
      <xdr:colOff>380997</xdr:colOff>
      <xdr:row>18</xdr:row>
      <xdr:rowOff>128586</xdr:rowOff>
    </xdr:to>
    <xdr:sp macro="" textlink="TotalAccount">
      <xdr:nvSpPr>
        <xdr:cNvPr id="3" name="TextBox 2">
          <a:extLst>
            <a:ext uri="{FF2B5EF4-FFF2-40B4-BE49-F238E27FC236}">
              <a16:creationId xmlns:a16="http://schemas.microsoft.com/office/drawing/2014/main" id="{D9C829EF-E898-49FC-BF25-5EE678E0CC0C}"/>
            </a:ext>
          </a:extLst>
        </xdr:cNvPr>
        <xdr:cNvSpPr txBox="1"/>
      </xdr:nvSpPr>
      <xdr:spPr>
        <a:xfrm>
          <a:off x="10058396" y="2890836"/>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9148F3-60EC-4FFB-A1EC-C6909A5EF464}"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800</a:t>
          </a:fld>
          <a:endParaRPr lang="en-NG" sz="4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590546</xdr:colOff>
      <xdr:row>15</xdr:row>
      <xdr:rowOff>19050</xdr:rowOff>
    </xdr:from>
    <xdr:to>
      <xdr:col>23</xdr:col>
      <xdr:colOff>200022</xdr:colOff>
      <xdr:row>18</xdr:row>
      <xdr:rowOff>114300</xdr:rowOff>
    </xdr:to>
    <xdr:sp macro="" textlink="mult.acc">
      <xdr:nvSpPr>
        <xdr:cNvPr id="4" name="TextBox 3">
          <a:extLst>
            <a:ext uri="{FF2B5EF4-FFF2-40B4-BE49-F238E27FC236}">
              <a16:creationId xmlns:a16="http://schemas.microsoft.com/office/drawing/2014/main" id="{5D1CE41F-BF22-4711-9344-0EE291FF7C36}"/>
            </a:ext>
          </a:extLst>
        </xdr:cNvPr>
        <xdr:cNvSpPr txBox="1"/>
      </xdr:nvSpPr>
      <xdr:spPr>
        <a:xfrm>
          <a:off x="12973046" y="2876550"/>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709AA8-B6BB-4C1F-9936-3E29F8F3D306}" type="TxLink">
            <a:rPr lang="en-US" sz="4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t>237</a:t>
          </a:fld>
          <a:endParaRPr lang="en-NG" sz="115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25</xdr:col>
      <xdr:colOff>76202</xdr:colOff>
      <xdr:row>15</xdr:row>
      <xdr:rowOff>52387</xdr:rowOff>
    </xdr:from>
    <xdr:to>
      <xdr:col>29</xdr:col>
      <xdr:colOff>119069</xdr:colOff>
      <xdr:row>18</xdr:row>
      <xdr:rowOff>147637</xdr:rowOff>
    </xdr:to>
    <xdr:sp macro="" textlink="Totalapprovedloan">
      <xdr:nvSpPr>
        <xdr:cNvPr id="5" name="TextBox 4">
          <a:extLst>
            <a:ext uri="{FF2B5EF4-FFF2-40B4-BE49-F238E27FC236}">
              <a16:creationId xmlns:a16="http://schemas.microsoft.com/office/drawing/2014/main" id="{956E506C-9353-454B-A099-0B823F011A74}"/>
            </a:ext>
          </a:extLst>
        </xdr:cNvPr>
        <xdr:cNvSpPr txBox="1"/>
      </xdr:nvSpPr>
      <xdr:spPr>
        <a:xfrm>
          <a:off x="15554327" y="2909887"/>
          <a:ext cx="2519367"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DE0F83-710E-4298-A1C9-B5333E60EFD4}"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t>$3.7M</a:t>
          </a:fld>
          <a:endParaRPr lang="en-NG"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30</xdr:col>
      <xdr:colOff>419096</xdr:colOff>
      <xdr:row>15</xdr:row>
      <xdr:rowOff>14288</xdr:rowOff>
    </xdr:from>
    <xdr:to>
      <xdr:col>33</xdr:col>
      <xdr:colOff>28572</xdr:colOff>
      <xdr:row>18</xdr:row>
      <xdr:rowOff>109538</xdr:rowOff>
    </xdr:to>
    <xdr:sp macro="" textlink="avgcreditscore">
      <xdr:nvSpPr>
        <xdr:cNvPr id="6" name="TextBox 5">
          <a:extLst>
            <a:ext uri="{FF2B5EF4-FFF2-40B4-BE49-F238E27FC236}">
              <a16:creationId xmlns:a16="http://schemas.microsoft.com/office/drawing/2014/main" id="{823F6904-3541-474A-8ECE-FADC1CB56717}"/>
            </a:ext>
          </a:extLst>
        </xdr:cNvPr>
        <xdr:cNvSpPr txBox="1"/>
      </xdr:nvSpPr>
      <xdr:spPr>
        <a:xfrm>
          <a:off x="18992846" y="2871788"/>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AAA158-9FD3-4D6C-9141-E9ABED91DF27}"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t>580</a:t>
          </a:fld>
          <a:endParaRPr lang="en-NG"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271463</xdr:colOff>
      <xdr:row>12</xdr:row>
      <xdr:rowOff>176212</xdr:rowOff>
    </xdr:from>
    <xdr:to>
      <xdr:col>18</xdr:col>
      <xdr:colOff>581025</xdr:colOff>
      <xdr:row>16</xdr:row>
      <xdr:rowOff>0</xdr:rowOff>
    </xdr:to>
    <xdr:sp macro="" textlink="">
      <xdr:nvSpPr>
        <xdr:cNvPr id="7" name="TextBox 6">
          <a:extLst>
            <a:ext uri="{FF2B5EF4-FFF2-40B4-BE49-F238E27FC236}">
              <a16:creationId xmlns:a16="http://schemas.microsoft.com/office/drawing/2014/main" id="{9A0FCFCE-99DF-4DB9-9DF3-3C727EECD9B8}"/>
            </a:ext>
          </a:extLst>
        </xdr:cNvPr>
        <xdr:cNvSpPr txBox="1"/>
      </xdr:nvSpPr>
      <xdr:spPr>
        <a:xfrm>
          <a:off x="9456284" y="2353355"/>
          <a:ext cx="2146527" cy="54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Total Account</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43445</xdr:colOff>
      <xdr:row>12</xdr:row>
      <xdr:rowOff>138112</xdr:rowOff>
    </xdr:from>
    <xdr:to>
      <xdr:col>24</xdr:col>
      <xdr:colOff>214894</xdr:colOff>
      <xdr:row>14</xdr:row>
      <xdr:rowOff>166687</xdr:rowOff>
    </xdr:to>
    <xdr:sp macro="" textlink="">
      <xdr:nvSpPr>
        <xdr:cNvPr id="8" name="TextBox 7">
          <a:extLst>
            <a:ext uri="{FF2B5EF4-FFF2-40B4-BE49-F238E27FC236}">
              <a16:creationId xmlns:a16="http://schemas.microsoft.com/office/drawing/2014/main" id="{214EAF8A-2ECD-4E25-927C-BFD7180035E4}"/>
            </a:ext>
          </a:extLst>
        </xdr:cNvPr>
        <xdr:cNvSpPr txBox="1"/>
      </xdr:nvSpPr>
      <xdr:spPr>
        <a:xfrm>
          <a:off x="12123933" y="2368356"/>
          <a:ext cx="2587546" cy="40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Multi</a:t>
          </a:r>
          <a:r>
            <a:rPr lang="en-GB" sz="2400" b="1" baseline="0">
              <a:latin typeface="Calibri" panose="020F0502020204030204" pitchFamily="34" charset="0"/>
              <a:ea typeface="Calibri" panose="020F0502020204030204" pitchFamily="34" charset="0"/>
              <a:cs typeface="Calibri" panose="020F0502020204030204" pitchFamily="34" charset="0"/>
            </a:rPr>
            <a:t> Acc. Holders</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25</xdr:col>
      <xdr:colOff>52386</xdr:colOff>
      <xdr:row>12</xdr:row>
      <xdr:rowOff>123825</xdr:rowOff>
    </xdr:from>
    <xdr:to>
      <xdr:col>29</xdr:col>
      <xdr:colOff>223835</xdr:colOff>
      <xdr:row>14</xdr:row>
      <xdr:rowOff>152400</xdr:rowOff>
    </xdr:to>
    <xdr:sp macro="" textlink="">
      <xdr:nvSpPr>
        <xdr:cNvPr id="10" name="TextBox 9">
          <a:extLst>
            <a:ext uri="{FF2B5EF4-FFF2-40B4-BE49-F238E27FC236}">
              <a16:creationId xmlns:a16="http://schemas.microsoft.com/office/drawing/2014/main" id="{0C2E1906-3344-4F6D-9511-DFDD2780FF64}"/>
            </a:ext>
          </a:extLst>
        </xdr:cNvPr>
        <xdr:cNvSpPr txBox="1"/>
      </xdr:nvSpPr>
      <xdr:spPr>
        <a:xfrm>
          <a:off x="15530511" y="2409825"/>
          <a:ext cx="2647949"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Approved</a:t>
          </a:r>
          <a:r>
            <a:rPr lang="en-GB" sz="2400" b="1" baseline="0">
              <a:latin typeface="Calibri" panose="020F0502020204030204" pitchFamily="34" charset="0"/>
              <a:ea typeface="Calibri" panose="020F0502020204030204" pitchFamily="34" charset="0"/>
              <a:cs typeface="Calibri" panose="020F0502020204030204" pitchFamily="34" charset="0"/>
            </a:rPr>
            <a:t> Loan</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29</xdr:col>
      <xdr:colOff>490530</xdr:colOff>
      <xdr:row>12</xdr:row>
      <xdr:rowOff>61912</xdr:rowOff>
    </xdr:from>
    <xdr:to>
      <xdr:col>34</xdr:col>
      <xdr:colOff>38097</xdr:colOff>
      <xdr:row>15</xdr:row>
      <xdr:rowOff>71437</xdr:rowOff>
    </xdr:to>
    <xdr:sp macro="" textlink="">
      <xdr:nvSpPr>
        <xdr:cNvPr id="11" name="TextBox 10">
          <a:extLst>
            <a:ext uri="{FF2B5EF4-FFF2-40B4-BE49-F238E27FC236}">
              <a16:creationId xmlns:a16="http://schemas.microsoft.com/office/drawing/2014/main" id="{A1B164EB-C121-4EDB-A1C3-A27CEEFFDE1E}"/>
            </a:ext>
          </a:extLst>
        </xdr:cNvPr>
        <xdr:cNvSpPr txBox="1"/>
      </xdr:nvSpPr>
      <xdr:spPr>
        <a:xfrm>
          <a:off x="18445155" y="2347912"/>
          <a:ext cx="2643192"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Avg</a:t>
          </a:r>
          <a:r>
            <a:rPr lang="en-GB" sz="2400" b="1" baseline="0">
              <a:latin typeface="Calibri" panose="020F0502020204030204" pitchFamily="34" charset="0"/>
              <a:ea typeface="Calibri" panose="020F0502020204030204" pitchFamily="34" charset="0"/>
              <a:cs typeface="Calibri" panose="020F0502020204030204" pitchFamily="34" charset="0"/>
            </a:rPr>
            <a:t> Credit Score</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166689</xdr:colOff>
      <xdr:row>22</xdr:row>
      <xdr:rowOff>71437</xdr:rowOff>
    </xdr:from>
    <xdr:to>
      <xdr:col>27</xdr:col>
      <xdr:colOff>23814</xdr:colOff>
      <xdr:row>39</xdr:row>
      <xdr:rowOff>23810</xdr:rowOff>
    </xdr:to>
    <xdr:graphicFrame macro="">
      <xdr:nvGraphicFramePr>
        <xdr:cNvPr id="12" name="Chart 11">
          <a:extLst>
            <a:ext uri="{FF2B5EF4-FFF2-40B4-BE49-F238E27FC236}">
              <a16:creationId xmlns:a16="http://schemas.microsoft.com/office/drawing/2014/main" id="{44854185-3608-478E-AD4C-820EBE42C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28</xdr:row>
      <xdr:rowOff>95252</xdr:rowOff>
    </xdr:from>
    <xdr:to>
      <xdr:col>23</xdr:col>
      <xdr:colOff>357187</xdr:colOff>
      <xdr:row>31</xdr:row>
      <xdr:rowOff>2</xdr:rowOff>
    </xdr:to>
    <xdr:sp macro="" textlink="Savings">
      <xdr:nvSpPr>
        <xdr:cNvPr id="13" name="TextBox 12">
          <a:extLst>
            <a:ext uri="{FF2B5EF4-FFF2-40B4-BE49-F238E27FC236}">
              <a16:creationId xmlns:a16="http://schemas.microsoft.com/office/drawing/2014/main" id="{0C16503F-5790-826A-86F6-B72493BBC8C7}"/>
            </a:ext>
          </a:extLst>
        </xdr:cNvPr>
        <xdr:cNvSpPr txBox="1"/>
      </xdr:nvSpPr>
      <xdr:spPr>
        <a:xfrm>
          <a:off x="13001625" y="5429252"/>
          <a:ext cx="159543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32450D-78C3-440C-9D7B-2D41C3BC93BF}" type="TxLink">
            <a:rPr lang="en-US" sz="3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$77.4M</a:t>
          </a:fld>
          <a:endParaRPr lang="en-NG" sz="3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166685</xdr:colOff>
      <xdr:row>31</xdr:row>
      <xdr:rowOff>23814</xdr:rowOff>
    </xdr:from>
    <xdr:to>
      <xdr:col>23</xdr:col>
      <xdr:colOff>214310</xdr:colOff>
      <xdr:row>34</xdr:row>
      <xdr:rowOff>23813</xdr:rowOff>
    </xdr:to>
    <xdr:sp macro="" textlink="">
      <xdr:nvSpPr>
        <xdr:cNvPr id="14" name="TextBox 13">
          <a:extLst>
            <a:ext uri="{FF2B5EF4-FFF2-40B4-BE49-F238E27FC236}">
              <a16:creationId xmlns:a16="http://schemas.microsoft.com/office/drawing/2014/main" id="{AE3E6D7F-6C43-3D78-D2F2-D7D6D5BF0307}"/>
            </a:ext>
          </a:extLst>
        </xdr:cNvPr>
        <xdr:cNvSpPr txBox="1"/>
      </xdr:nvSpPr>
      <xdr:spPr>
        <a:xfrm>
          <a:off x="13168310" y="5929314"/>
          <a:ext cx="1285875"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tx1"/>
              </a:solidFill>
              <a:latin typeface="Calibri" panose="020F0502020204030204" pitchFamily="34" charset="0"/>
              <a:ea typeface="Calibri" panose="020F0502020204030204" pitchFamily="34" charset="0"/>
              <a:cs typeface="Calibri" panose="020F0502020204030204" pitchFamily="34" charset="0"/>
            </a:rPr>
            <a:t>Savings</a:t>
          </a:r>
          <a:endParaRPr lang="en-NG" sz="2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127458</xdr:colOff>
      <xdr:row>20</xdr:row>
      <xdr:rowOff>82096</xdr:rowOff>
    </xdr:from>
    <xdr:to>
      <xdr:col>26</xdr:col>
      <xdr:colOff>8396</xdr:colOff>
      <xdr:row>22</xdr:row>
      <xdr:rowOff>168274</xdr:rowOff>
    </xdr:to>
    <xdr:sp macro="" textlink="">
      <xdr:nvSpPr>
        <xdr:cNvPr id="15" name="TextBox 14">
          <a:extLst>
            <a:ext uri="{FF2B5EF4-FFF2-40B4-BE49-F238E27FC236}">
              <a16:creationId xmlns:a16="http://schemas.microsoft.com/office/drawing/2014/main" id="{F33120FC-91BF-4313-AA5C-D6C107879804}"/>
            </a:ext>
          </a:extLst>
        </xdr:cNvPr>
        <xdr:cNvSpPr txBox="1"/>
      </xdr:nvSpPr>
      <xdr:spPr>
        <a:xfrm>
          <a:off x="12986208" y="3710667"/>
          <a:ext cx="2942545"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Loan</a:t>
          </a:r>
          <a:r>
            <a:rPr lang="en-GB" sz="2000" baseline="0">
              <a:latin typeface="Calibri" panose="020F0502020204030204" pitchFamily="34" charset="0"/>
              <a:ea typeface="Calibri" panose="020F0502020204030204" pitchFamily="34" charset="0"/>
              <a:cs typeface="Calibri" panose="020F0502020204030204" pitchFamily="34" charset="0"/>
            </a:rPr>
            <a:t> Status</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26</xdr:col>
      <xdr:colOff>571846</xdr:colOff>
      <xdr:row>21</xdr:row>
      <xdr:rowOff>117901</xdr:rowOff>
    </xdr:from>
    <xdr:to>
      <xdr:col>33</xdr:col>
      <xdr:colOff>487866</xdr:colOff>
      <xdr:row>38</xdr:row>
      <xdr:rowOff>162623</xdr:rowOff>
    </xdr:to>
    <xdr:graphicFrame macro="">
      <xdr:nvGraphicFramePr>
        <xdr:cNvPr id="9" name="Chart 8">
          <a:extLst>
            <a:ext uri="{FF2B5EF4-FFF2-40B4-BE49-F238E27FC236}">
              <a16:creationId xmlns:a16="http://schemas.microsoft.com/office/drawing/2014/main" id="{1FDC1A8E-B772-4AAF-9513-E8FD0C96A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571500</xdr:colOff>
      <xdr:row>21</xdr:row>
      <xdr:rowOff>23814</xdr:rowOff>
    </xdr:from>
    <xdr:to>
      <xdr:col>26</xdr:col>
      <xdr:colOff>571500</xdr:colOff>
      <xdr:row>38</xdr:row>
      <xdr:rowOff>71437</xdr:rowOff>
    </xdr:to>
    <xdr:cxnSp macro="">
      <xdr:nvCxnSpPr>
        <xdr:cNvPr id="17" name="Straight Connector 16">
          <a:extLst>
            <a:ext uri="{FF2B5EF4-FFF2-40B4-BE49-F238E27FC236}">
              <a16:creationId xmlns:a16="http://schemas.microsoft.com/office/drawing/2014/main" id="{DFD9CC87-6291-729E-B12B-3D69513C2852}"/>
            </a:ext>
          </a:extLst>
        </xdr:cNvPr>
        <xdr:cNvCxnSpPr/>
      </xdr:nvCxnSpPr>
      <xdr:spPr>
        <a:xfrm>
          <a:off x="16276134" y="3926741"/>
          <a:ext cx="0" cy="3207135"/>
        </a:xfrm>
        <a:prstGeom prst="line">
          <a:avLst/>
        </a:prstGeom>
        <a:ln>
          <a:solidFill>
            <a:schemeClr val="tx1">
              <a:lumMod val="50000"/>
              <a:lumOff val="50000"/>
              <a:alpha val="71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124518</xdr:colOff>
      <xdr:row>20</xdr:row>
      <xdr:rowOff>104775</xdr:rowOff>
    </xdr:from>
    <xdr:to>
      <xdr:col>33</xdr:col>
      <xdr:colOff>209082</xdr:colOff>
      <xdr:row>23</xdr:row>
      <xdr:rowOff>69695</xdr:rowOff>
    </xdr:to>
    <xdr:sp macro="" textlink="">
      <xdr:nvSpPr>
        <xdr:cNvPr id="39" name="TextBox 38">
          <a:extLst>
            <a:ext uri="{FF2B5EF4-FFF2-40B4-BE49-F238E27FC236}">
              <a16:creationId xmlns:a16="http://schemas.microsoft.com/office/drawing/2014/main" id="{BFAD5447-370E-4894-B32E-AD0459EC6FA3}"/>
            </a:ext>
          </a:extLst>
        </xdr:cNvPr>
        <xdr:cNvSpPr txBox="1"/>
      </xdr:nvSpPr>
      <xdr:spPr>
        <a:xfrm>
          <a:off x="16433177" y="3821848"/>
          <a:ext cx="3708710" cy="522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Customer</a:t>
          </a:r>
          <a:r>
            <a:rPr lang="en-GB" sz="2000" baseline="0">
              <a:latin typeface="Calibri" panose="020F0502020204030204" pitchFamily="34" charset="0"/>
              <a:ea typeface="Calibri" panose="020F0502020204030204" pitchFamily="34" charset="0"/>
              <a:cs typeface="Calibri" panose="020F0502020204030204" pitchFamily="34" charset="0"/>
            </a:rPr>
            <a:t> Segment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519463</xdr:colOff>
      <xdr:row>39</xdr:row>
      <xdr:rowOff>11848</xdr:rowOff>
    </xdr:from>
    <xdr:to>
      <xdr:col>29</xdr:col>
      <xdr:colOff>418176</xdr:colOff>
      <xdr:row>42</xdr:row>
      <xdr:rowOff>69695</xdr:rowOff>
    </xdr:to>
    <xdr:sp macro="" textlink="">
      <xdr:nvSpPr>
        <xdr:cNvPr id="42" name="TextBox 41">
          <a:extLst>
            <a:ext uri="{FF2B5EF4-FFF2-40B4-BE49-F238E27FC236}">
              <a16:creationId xmlns:a16="http://schemas.microsoft.com/office/drawing/2014/main" id="{EA633222-08DA-4242-95CC-BF6B415C8915}"/>
            </a:ext>
          </a:extLst>
        </xdr:cNvPr>
        <xdr:cNvSpPr txBox="1"/>
      </xdr:nvSpPr>
      <xdr:spPr>
        <a:xfrm>
          <a:off x="13203975" y="7260141"/>
          <a:ext cx="4730908" cy="61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Age</a:t>
          </a:r>
          <a:r>
            <a:rPr lang="en-GB" sz="2000" baseline="0">
              <a:latin typeface="Calibri" panose="020F0502020204030204" pitchFamily="34" charset="0"/>
              <a:ea typeface="Calibri" panose="020F0502020204030204" pitchFamily="34" charset="0"/>
              <a:cs typeface="Calibri" panose="020F0502020204030204" pitchFamily="34" charset="0"/>
            </a:rPr>
            <a:t> Group With Highest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511098</xdr:colOff>
      <xdr:row>39</xdr:row>
      <xdr:rowOff>69142</xdr:rowOff>
    </xdr:from>
    <xdr:to>
      <xdr:col>19</xdr:col>
      <xdr:colOff>0</xdr:colOff>
      <xdr:row>56</xdr:row>
      <xdr:rowOff>22679</xdr:rowOff>
    </xdr:to>
    <xdr:graphicFrame macro="">
      <xdr:nvGraphicFramePr>
        <xdr:cNvPr id="43" name="Chart 42">
          <a:extLst>
            <a:ext uri="{FF2B5EF4-FFF2-40B4-BE49-F238E27FC236}">
              <a16:creationId xmlns:a16="http://schemas.microsoft.com/office/drawing/2014/main" id="{B6AC5035-335B-4A65-A844-20CE1C811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21370</xdr:colOff>
      <xdr:row>38</xdr:row>
      <xdr:rowOff>137696</xdr:rowOff>
    </xdr:from>
    <xdr:to>
      <xdr:col>18</xdr:col>
      <xdr:colOff>524107</xdr:colOff>
      <xdr:row>41</xdr:row>
      <xdr:rowOff>94032</xdr:rowOff>
    </xdr:to>
    <xdr:sp macro="" textlink="">
      <xdr:nvSpPr>
        <xdr:cNvPr id="44" name="TextBox 43">
          <a:extLst>
            <a:ext uri="{FF2B5EF4-FFF2-40B4-BE49-F238E27FC236}">
              <a16:creationId xmlns:a16="http://schemas.microsoft.com/office/drawing/2014/main" id="{DCE603E7-8DBB-4689-8807-99F160ABC4E8}"/>
            </a:ext>
          </a:extLst>
        </xdr:cNvPr>
        <xdr:cNvSpPr txBox="1"/>
      </xdr:nvSpPr>
      <xdr:spPr>
        <a:xfrm>
          <a:off x="6756906" y="7031982"/>
          <a:ext cx="4788987" cy="500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Loan</a:t>
          </a:r>
          <a:r>
            <a:rPr lang="en-GB" sz="2000" baseline="0">
              <a:latin typeface="Calibri" panose="020F0502020204030204" pitchFamily="34" charset="0"/>
              <a:ea typeface="Calibri" panose="020F0502020204030204" pitchFamily="34" charset="0"/>
              <a:cs typeface="Calibri" panose="020F0502020204030204" pitchFamily="34" charset="0"/>
            </a:rPr>
            <a:t> Performance By Credit Score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52202</xdr:colOff>
      <xdr:row>16</xdr:row>
      <xdr:rowOff>79659</xdr:rowOff>
    </xdr:from>
    <xdr:to>
      <xdr:col>9</xdr:col>
      <xdr:colOff>531573</xdr:colOff>
      <xdr:row>27</xdr:row>
      <xdr:rowOff>0</xdr:rowOff>
    </xdr:to>
    <mc:AlternateContent xmlns:mc="http://schemas.openxmlformats.org/markup-compatibility/2006" xmlns:a14="http://schemas.microsoft.com/office/drawing/2010/main">
      <mc:Choice Requires="a14">
        <xdr:graphicFrame macro="">
          <xdr:nvGraphicFramePr>
            <xdr:cNvPr id="45" name="Customer_Segment 1">
              <a:extLst>
                <a:ext uri="{FF2B5EF4-FFF2-40B4-BE49-F238E27FC236}">
                  <a16:creationId xmlns:a16="http://schemas.microsoft.com/office/drawing/2014/main" id="{DD845A45-249F-4535-8788-8B72C1DC9B93}"/>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3726131" y="2982516"/>
              <a:ext cx="2316335" cy="191605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45357</xdr:colOff>
      <xdr:row>29</xdr:row>
      <xdr:rowOff>113392</xdr:rowOff>
    </xdr:from>
    <xdr:to>
      <xdr:col>9</xdr:col>
      <xdr:colOff>548393</xdr:colOff>
      <xdr:row>42</xdr:row>
      <xdr:rowOff>68036</xdr:rowOff>
    </xdr:to>
    <mc:AlternateContent xmlns:mc="http://schemas.openxmlformats.org/markup-compatibility/2006" xmlns:a14="http://schemas.microsoft.com/office/drawing/2010/main">
      <mc:Choice Requires="a14">
        <xdr:graphicFrame macro="">
          <xdr:nvGraphicFramePr>
            <xdr:cNvPr id="46" name="Age group">
              <a:extLst>
                <a:ext uri="{FF2B5EF4-FFF2-40B4-BE49-F238E27FC236}">
                  <a16:creationId xmlns:a16="http://schemas.microsoft.com/office/drawing/2014/main" id="{D64BAF18-F748-4BFB-9DDC-5078E2A8EE6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719286" y="5374821"/>
              <a:ext cx="2340000" cy="23132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158749</xdr:colOff>
      <xdr:row>7</xdr:row>
      <xdr:rowOff>113391</xdr:rowOff>
    </xdr:from>
    <xdr:to>
      <xdr:col>14</xdr:col>
      <xdr:colOff>158748</xdr:colOff>
      <xdr:row>10</xdr:row>
      <xdr:rowOff>68035</xdr:rowOff>
    </xdr:to>
    <xdr:sp macro="" textlink="">
      <xdr:nvSpPr>
        <xdr:cNvPr id="16" name="TextBox 15">
          <a:extLst>
            <a:ext uri="{FF2B5EF4-FFF2-40B4-BE49-F238E27FC236}">
              <a16:creationId xmlns:a16="http://schemas.microsoft.com/office/drawing/2014/main" id="{A244CFBF-0D0B-CADC-13B5-906204E4A41F}"/>
            </a:ext>
          </a:extLst>
        </xdr:cNvPr>
        <xdr:cNvSpPr txBox="1"/>
      </xdr:nvSpPr>
      <xdr:spPr>
        <a:xfrm>
          <a:off x="6281963" y="1383391"/>
          <a:ext cx="2449285" cy="498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METROBANK</a:t>
          </a:r>
          <a:endParaRPr lang="en-NG" sz="3200" b="1"/>
        </a:p>
      </xdr:txBody>
    </xdr:sp>
    <xdr:clientData/>
  </xdr:twoCellAnchor>
  <xdr:twoCellAnchor>
    <xdr:from>
      <xdr:col>10</xdr:col>
      <xdr:colOff>226785</xdr:colOff>
      <xdr:row>9</xdr:row>
      <xdr:rowOff>136072</xdr:rowOff>
    </xdr:from>
    <xdr:to>
      <xdr:col>18</xdr:col>
      <xdr:colOff>521606</xdr:colOff>
      <xdr:row>12</xdr:row>
      <xdr:rowOff>68036</xdr:rowOff>
    </xdr:to>
    <xdr:sp macro="" textlink="">
      <xdr:nvSpPr>
        <xdr:cNvPr id="18" name="TextBox 17">
          <a:extLst>
            <a:ext uri="{FF2B5EF4-FFF2-40B4-BE49-F238E27FC236}">
              <a16:creationId xmlns:a16="http://schemas.microsoft.com/office/drawing/2014/main" id="{F696FAFF-5F82-4EDF-DE13-975F0A8BB1FA}"/>
            </a:ext>
          </a:extLst>
        </xdr:cNvPr>
        <xdr:cNvSpPr txBox="1"/>
      </xdr:nvSpPr>
      <xdr:spPr>
        <a:xfrm>
          <a:off x="6349999" y="1768929"/>
          <a:ext cx="519339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Calibri" panose="020F0502020204030204" pitchFamily="34" charset="0"/>
              <a:ea typeface="Calibri" panose="020F0502020204030204" pitchFamily="34" charset="0"/>
              <a:cs typeface="Calibri" panose="020F0502020204030204" pitchFamily="34" charset="0"/>
            </a:rPr>
            <a:t>Analzing Accounts And Customer Relationships</a:t>
          </a:r>
          <a:endParaRPr lang="en-NG"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333828</xdr:colOff>
      <xdr:row>54</xdr:row>
      <xdr:rowOff>84363</xdr:rowOff>
    </xdr:from>
    <xdr:to>
      <xdr:col>19</xdr:col>
      <xdr:colOff>385536</xdr:colOff>
      <xdr:row>58</xdr:row>
      <xdr:rowOff>113391</xdr:rowOff>
    </xdr:to>
    <xdr:sp macro="" textlink="">
      <xdr:nvSpPr>
        <xdr:cNvPr id="19" name="TextBox 18">
          <a:extLst>
            <a:ext uri="{FF2B5EF4-FFF2-40B4-BE49-F238E27FC236}">
              <a16:creationId xmlns:a16="http://schemas.microsoft.com/office/drawing/2014/main" id="{C2A6CDF2-64D4-41BA-9FE9-653E7C4BE967}"/>
            </a:ext>
          </a:extLst>
        </xdr:cNvPr>
        <xdr:cNvSpPr txBox="1"/>
      </xdr:nvSpPr>
      <xdr:spPr>
        <a:xfrm>
          <a:off x="6457042" y="9881506"/>
          <a:ext cx="5562601" cy="754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Calibri" panose="020F0502020204030204" pitchFamily="34" charset="0"/>
              <a:ea typeface="Calibri" panose="020F0502020204030204" pitchFamily="34" charset="0"/>
              <a:cs typeface="Calibri" panose="020F0502020204030204" pitchFamily="34" charset="0"/>
            </a:rPr>
            <a:t>A</a:t>
          </a:r>
          <a:r>
            <a:rPr lang="en-GB" sz="1800" baseline="0">
              <a:latin typeface="Calibri" panose="020F0502020204030204" pitchFamily="34" charset="0"/>
              <a:ea typeface="Calibri" panose="020F0502020204030204" pitchFamily="34" charset="0"/>
              <a:cs typeface="Calibri" panose="020F0502020204030204" pitchFamily="34" charset="0"/>
            </a:rPr>
            <a:t> slight majority of applications (50.4%) were rejected based on credit score</a:t>
          </a:r>
          <a:endParaRPr lang="en-NG"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476252</xdr:colOff>
      <xdr:row>39</xdr:row>
      <xdr:rowOff>45356</xdr:rowOff>
    </xdr:from>
    <xdr:to>
      <xdr:col>33</xdr:col>
      <xdr:colOff>453572</xdr:colOff>
      <xdr:row>57</xdr:row>
      <xdr:rowOff>97148</xdr:rowOff>
    </xdr:to>
    <xdr:sp macro="" textlink="">
      <xdr:nvSpPr>
        <xdr:cNvPr id="36" name="Rectangle 35">
          <a:extLst>
            <a:ext uri="{FF2B5EF4-FFF2-40B4-BE49-F238E27FC236}">
              <a16:creationId xmlns:a16="http://schemas.microsoft.com/office/drawing/2014/main" id="{D42558FD-2173-4B83-A55D-53E3EB472D06}"/>
            </a:ext>
          </a:extLst>
        </xdr:cNvPr>
        <xdr:cNvSpPr/>
      </xdr:nvSpPr>
      <xdr:spPr>
        <a:xfrm>
          <a:off x="12110359" y="7121070"/>
          <a:ext cx="8549820" cy="3317507"/>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clientData/>
  </xdr:twoCellAnchor>
  <xdr:twoCellAnchor>
    <xdr:from>
      <xdr:col>19</xdr:col>
      <xdr:colOff>487868</xdr:colOff>
      <xdr:row>41</xdr:row>
      <xdr:rowOff>-1</xdr:rowOff>
    </xdr:from>
    <xdr:to>
      <xdr:col>33</xdr:col>
      <xdr:colOff>418171</xdr:colOff>
      <xdr:row>57</xdr:row>
      <xdr:rowOff>157973</xdr:rowOff>
    </xdr:to>
    <xdr:graphicFrame macro="">
      <xdr:nvGraphicFramePr>
        <xdr:cNvPr id="41" name="Chart 40">
          <a:extLst>
            <a:ext uri="{FF2B5EF4-FFF2-40B4-BE49-F238E27FC236}">
              <a16:creationId xmlns:a16="http://schemas.microsoft.com/office/drawing/2014/main" id="{C8671872-4019-471B-B5CE-C30233B1B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83056</xdr:colOff>
      <xdr:row>39</xdr:row>
      <xdr:rowOff>40631</xdr:rowOff>
    </xdr:from>
    <xdr:to>
      <xdr:col>29</xdr:col>
      <xdr:colOff>585793</xdr:colOff>
      <xdr:row>41</xdr:row>
      <xdr:rowOff>178395</xdr:rowOff>
    </xdr:to>
    <xdr:sp macro="" textlink="">
      <xdr:nvSpPr>
        <xdr:cNvPr id="37" name="TextBox 36">
          <a:extLst>
            <a:ext uri="{FF2B5EF4-FFF2-40B4-BE49-F238E27FC236}">
              <a16:creationId xmlns:a16="http://schemas.microsoft.com/office/drawing/2014/main" id="{10AB9767-70FE-4C76-BAFD-919194FBD4EC}"/>
            </a:ext>
          </a:extLst>
        </xdr:cNvPr>
        <xdr:cNvSpPr txBox="1"/>
      </xdr:nvSpPr>
      <xdr:spPr>
        <a:xfrm>
          <a:off x="13554127" y="7116345"/>
          <a:ext cx="4788987" cy="500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Age</a:t>
          </a:r>
          <a:r>
            <a:rPr lang="en-GB" sz="2000" baseline="0">
              <a:latin typeface="Calibri" panose="020F0502020204030204" pitchFamily="34" charset="0"/>
              <a:ea typeface="Calibri" panose="020F0502020204030204" pitchFamily="34" charset="0"/>
              <a:cs typeface="Calibri" panose="020F0502020204030204" pitchFamily="34" charset="0"/>
            </a:rPr>
            <a:t> Group With Highest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xdr:row>
      <xdr:rowOff>0</xdr:rowOff>
    </xdr:from>
    <xdr:to>
      <xdr:col>21</xdr:col>
      <xdr:colOff>34977</xdr:colOff>
      <xdr:row>38</xdr:row>
      <xdr:rowOff>144281</xdr:rowOff>
    </xdr:to>
    <xdr:grpSp>
      <xdr:nvGrpSpPr>
        <xdr:cNvPr id="11" name="Group 10">
          <a:extLst>
            <a:ext uri="{FF2B5EF4-FFF2-40B4-BE49-F238E27FC236}">
              <a16:creationId xmlns:a16="http://schemas.microsoft.com/office/drawing/2014/main" id="{25B96595-49B1-EDB5-B4F4-3B24C27272F4}"/>
            </a:ext>
          </a:extLst>
        </xdr:cNvPr>
        <xdr:cNvGrpSpPr/>
      </xdr:nvGrpSpPr>
      <xdr:grpSpPr>
        <a:xfrm>
          <a:off x="1203158" y="919079"/>
          <a:ext cx="11464977" cy="6210202"/>
          <a:chOff x="269822" y="209862"/>
          <a:chExt cx="11617377" cy="6430781"/>
        </a:xfrm>
      </xdr:grpSpPr>
      <xdr:sp macro="" textlink="">
        <xdr:nvSpPr>
          <xdr:cNvPr id="12" name="Rectangle: Rounded Corners 11">
            <a:extLst>
              <a:ext uri="{FF2B5EF4-FFF2-40B4-BE49-F238E27FC236}">
                <a16:creationId xmlns:a16="http://schemas.microsoft.com/office/drawing/2014/main" id="{298FD798-469C-E3BE-4F44-69E7668A7500}"/>
              </a:ext>
            </a:extLst>
          </xdr:cNvPr>
          <xdr:cNvSpPr/>
        </xdr:nvSpPr>
        <xdr:spPr>
          <a:xfrm>
            <a:off x="269822" y="209862"/>
            <a:ext cx="11617377" cy="6430781"/>
          </a:xfrm>
          <a:prstGeom prst="roundRect">
            <a:avLst>
              <a:gd name="adj" fmla="val 3160"/>
            </a:avLst>
          </a:prstGeom>
          <a:solidFill>
            <a:schemeClr val="accent2">
              <a:lumMod val="20000"/>
              <a:lumOff val="80000"/>
              <a:alpha val="7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3" name="Rectangle 12">
            <a:extLst>
              <a:ext uri="{FF2B5EF4-FFF2-40B4-BE49-F238E27FC236}">
                <a16:creationId xmlns:a16="http://schemas.microsoft.com/office/drawing/2014/main" id="{57B9FA17-0A64-074D-A670-DF908419FC87}"/>
              </a:ext>
            </a:extLst>
          </xdr:cNvPr>
          <xdr:cNvSpPr/>
        </xdr:nvSpPr>
        <xdr:spPr>
          <a:xfrm>
            <a:off x="971860" y="1151432"/>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4" name="Rectangle 13">
            <a:extLst>
              <a:ext uri="{FF2B5EF4-FFF2-40B4-BE49-F238E27FC236}">
                <a16:creationId xmlns:a16="http://schemas.microsoft.com/office/drawing/2014/main" id="{6AE3D05C-523F-2D07-A014-4CF0A10E31E9}"/>
              </a:ext>
            </a:extLst>
          </xdr:cNvPr>
          <xdr:cNvSpPr/>
        </xdr:nvSpPr>
        <xdr:spPr>
          <a:xfrm>
            <a:off x="971860" y="2585335"/>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5" name="Rectangle 14">
            <a:extLst>
              <a:ext uri="{FF2B5EF4-FFF2-40B4-BE49-F238E27FC236}">
                <a16:creationId xmlns:a16="http://schemas.microsoft.com/office/drawing/2014/main" id="{317ADCC6-E1CC-18BC-DBA5-3674131F3CC4}"/>
              </a:ext>
            </a:extLst>
          </xdr:cNvPr>
          <xdr:cNvSpPr/>
        </xdr:nvSpPr>
        <xdr:spPr>
          <a:xfrm>
            <a:off x="971860" y="4062336"/>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6" name="Rectangle 15">
            <a:extLst>
              <a:ext uri="{FF2B5EF4-FFF2-40B4-BE49-F238E27FC236}">
                <a16:creationId xmlns:a16="http://schemas.microsoft.com/office/drawing/2014/main" id="{2534D7C9-33E7-736F-C112-BBFC8C3C9832}"/>
              </a:ext>
            </a:extLst>
          </xdr:cNvPr>
          <xdr:cNvSpPr/>
        </xdr:nvSpPr>
        <xdr:spPr>
          <a:xfrm>
            <a:off x="926890" y="5436279"/>
            <a:ext cx="165141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7" name="Rectangle: Rounded Corners 16">
            <a:extLst>
              <a:ext uri="{FF2B5EF4-FFF2-40B4-BE49-F238E27FC236}">
                <a16:creationId xmlns:a16="http://schemas.microsoft.com/office/drawing/2014/main" id="{02A9AF59-ADA0-CA6F-060A-6E6EAF653D03}"/>
              </a:ext>
            </a:extLst>
          </xdr:cNvPr>
          <xdr:cNvSpPr/>
        </xdr:nvSpPr>
        <xdr:spPr>
          <a:xfrm>
            <a:off x="2675745" y="1106461"/>
            <a:ext cx="9091533" cy="1696700"/>
          </a:xfrm>
          <a:prstGeom prst="roundRect">
            <a:avLst>
              <a:gd name="adj" fmla="val 518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8" name="Rectangle: Rounded Corners 17">
            <a:extLst>
              <a:ext uri="{FF2B5EF4-FFF2-40B4-BE49-F238E27FC236}">
                <a16:creationId xmlns:a16="http://schemas.microsoft.com/office/drawing/2014/main" id="{12650D6E-C232-28A1-788E-D112D72A4136}"/>
              </a:ext>
            </a:extLst>
          </xdr:cNvPr>
          <xdr:cNvSpPr/>
        </xdr:nvSpPr>
        <xdr:spPr>
          <a:xfrm>
            <a:off x="2675745" y="2870149"/>
            <a:ext cx="2818153" cy="3613566"/>
          </a:xfrm>
          <a:prstGeom prst="roundRect">
            <a:avLst>
              <a:gd name="adj" fmla="val 3846"/>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9" name="Rectangle: Rounded Corners 18">
            <a:extLst>
              <a:ext uri="{FF2B5EF4-FFF2-40B4-BE49-F238E27FC236}">
                <a16:creationId xmlns:a16="http://schemas.microsoft.com/office/drawing/2014/main" id="{8717E797-2362-DBAF-C4CC-C09ACD4FC145}"/>
              </a:ext>
            </a:extLst>
          </xdr:cNvPr>
          <xdr:cNvSpPr/>
        </xdr:nvSpPr>
        <xdr:spPr>
          <a:xfrm>
            <a:off x="5523878" y="2883500"/>
            <a:ext cx="6243400" cy="3613566"/>
          </a:xfrm>
          <a:prstGeom prst="roundRect">
            <a:avLst>
              <a:gd name="adj" fmla="val 3846"/>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grpSp>
    <xdr:clientData/>
  </xdr:twoCellAnchor>
  <xdr:oneCellAnchor>
    <xdr:from>
      <xdr:col>26</xdr:col>
      <xdr:colOff>96864</xdr:colOff>
      <xdr:row>15</xdr:row>
      <xdr:rowOff>48432</xdr:rowOff>
    </xdr:from>
    <xdr:ext cx="184731" cy="264560"/>
    <xdr:sp macro="" textlink="">
      <xdr:nvSpPr>
        <xdr:cNvPr id="20" name="TextBox 19">
          <a:extLst>
            <a:ext uri="{FF2B5EF4-FFF2-40B4-BE49-F238E27FC236}">
              <a16:creationId xmlns:a16="http://schemas.microsoft.com/office/drawing/2014/main" id="{CABAEA78-5A9B-F478-8B3F-C6B2B3862F62}"/>
            </a:ext>
          </a:extLst>
        </xdr:cNvPr>
        <xdr:cNvSpPr txBox="1"/>
      </xdr:nvSpPr>
      <xdr:spPr>
        <a:xfrm>
          <a:off x="16047203" y="2954364"/>
          <a:ext cx="184731" cy="264560"/>
        </a:xfrm>
        <a:prstGeom prst="rect">
          <a:avLst/>
        </a:prstGeom>
        <a:noFill/>
        <a:effectLst>
          <a:outerShdw blurRad="50800" dist="50800" dir="5400000" algn="ctr" rotWithShape="0">
            <a:srgbClr val="000000">
              <a:alpha val="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twoCellAnchor>
    <xdr:from>
      <xdr:col>3</xdr:col>
      <xdr:colOff>381044</xdr:colOff>
      <xdr:row>11</xdr:row>
      <xdr:rowOff>39247</xdr:rowOff>
    </xdr:from>
    <xdr:to>
      <xdr:col>5</xdr:col>
      <xdr:colOff>203460</xdr:colOff>
      <xdr:row>14</xdr:row>
      <xdr:rowOff>66844</xdr:rowOff>
    </xdr:to>
    <xdr:sp macro="" textlink="TotalAccount">
      <xdr:nvSpPr>
        <xdr:cNvPr id="21" name="TextBox 20">
          <a:extLst>
            <a:ext uri="{FF2B5EF4-FFF2-40B4-BE49-F238E27FC236}">
              <a16:creationId xmlns:a16="http://schemas.microsoft.com/office/drawing/2014/main" id="{224CAEF2-8332-A0FF-DEBD-2760FCAC5EEC}"/>
            </a:ext>
          </a:extLst>
        </xdr:cNvPr>
        <xdr:cNvSpPr txBox="1"/>
      </xdr:nvSpPr>
      <xdr:spPr>
        <a:xfrm>
          <a:off x="2185781" y="2061221"/>
          <a:ext cx="1025574" cy="57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EBCCBD-6522-488C-A92B-8BC48BD28BBA}" type="TxLink">
            <a:rPr lang="en-US" sz="3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800</a:t>
          </a:fld>
          <a:endParaRPr lang="en-NG" sz="3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32288</xdr:colOff>
      <xdr:row>19</xdr:row>
      <xdr:rowOff>22118</xdr:rowOff>
    </xdr:from>
    <xdr:to>
      <xdr:col>5</xdr:col>
      <xdr:colOff>565043</xdr:colOff>
      <xdr:row>21</xdr:row>
      <xdr:rowOff>151271</xdr:rowOff>
    </xdr:to>
    <xdr:sp macro="" textlink="Totalamount1">
      <xdr:nvSpPr>
        <xdr:cNvPr id="22" name="TextBox 21">
          <a:extLst>
            <a:ext uri="{FF2B5EF4-FFF2-40B4-BE49-F238E27FC236}">
              <a16:creationId xmlns:a16="http://schemas.microsoft.com/office/drawing/2014/main" id="{F560F913-F557-4838-ABB3-4A81F4E0AAB8}"/>
            </a:ext>
          </a:extLst>
        </xdr:cNvPr>
        <xdr:cNvSpPr txBox="1"/>
      </xdr:nvSpPr>
      <xdr:spPr>
        <a:xfrm>
          <a:off x="1837025" y="3514618"/>
          <a:ext cx="1735913" cy="49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1924D6-EBFF-4B81-AAA4-9782667C2185}"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$25,066,089</a:t>
          </a:fld>
          <a:endParaRPr lang="en-NG" sz="6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386272</xdr:colOff>
      <xdr:row>26</xdr:row>
      <xdr:rowOff>158485</xdr:rowOff>
    </xdr:from>
    <xdr:to>
      <xdr:col>5</xdr:col>
      <xdr:colOff>198736</xdr:colOff>
      <xdr:row>29</xdr:row>
      <xdr:rowOff>167526</xdr:rowOff>
    </xdr:to>
    <xdr:sp macro="" textlink="TotalTransactions">
      <xdr:nvSpPr>
        <xdr:cNvPr id="23" name="TextBox 22">
          <a:extLst>
            <a:ext uri="{FF2B5EF4-FFF2-40B4-BE49-F238E27FC236}">
              <a16:creationId xmlns:a16="http://schemas.microsoft.com/office/drawing/2014/main" id="{7725FE7D-F610-47DD-A666-6E98F1A1074E}"/>
            </a:ext>
          </a:extLst>
        </xdr:cNvPr>
        <xdr:cNvSpPr txBox="1"/>
      </xdr:nvSpPr>
      <xdr:spPr>
        <a:xfrm>
          <a:off x="2191009" y="4937696"/>
          <a:ext cx="1015622" cy="56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42271F-33C8-4379-8A10-8005237129D4}" type="TxLink">
            <a:rPr lang="en-US" sz="2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5000</a:t>
          </a:fld>
          <a:endParaRPr lang="en-NG" sz="16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259199</xdr:colOff>
      <xdr:row>33</xdr:row>
      <xdr:rowOff>147895</xdr:rowOff>
    </xdr:from>
    <xdr:to>
      <xdr:col>5</xdr:col>
      <xdr:colOff>417762</xdr:colOff>
      <xdr:row>36</xdr:row>
      <xdr:rowOff>93233</xdr:rowOff>
    </xdr:to>
    <xdr:sp macro="" textlink="Avgamount1">
      <xdr:nvSpPr>
        <xdr:cNvPr id="24" name="TextBox 23">
          <a:extLst>
            <a:ext uri="{FF2B5EF4-FFF2-40B4-BE49-F238E27FC236}">
              <a16:creationId xmlns:a16="http://schemas.microsoft.com/office/drawing/2014/main" id="{E4783A5F-B738-4181-9EFC-B45CF781FE01}"/>
            </a:ext>
          </a:extLst>
        </xdr:cNvPr>
        <xdr:cNvSpPr txBox="1"/>
      </xdr:nvSpPr>
      <xdr:spPr>
        <a:xfrm>
          <a:off x="2063936" y="6213816"/>
          <a:ext cx="1361721" cy="49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B48AC2-1ACE-45BE-976E-34888B974CDB}" type="TxLink">
            <a:rPr lang="en-US" sz="2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$5,013</a:t>
          </a:fld>
          <a:endParaRPr lang="en-NG" sz="49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228285</xdr:colOff>
      <xdr:row>10</xdr:row>
      <xdr:rowOff>27758</xdr:rowOff>
    </xdr:from>
    <xdr:to>
      <xdr:col>5</xdr:col>
      <xdr:colOff>454302</xdr:colOff>
      <xdr:row>11</xdr:row>
      <xdr:rowOff>146997</xdr:rowOff>
    </xdr:to>
    <xdr:sp macro="" textlink="">
      <xdr:nvSpPr>
        <xdr:cNvPr id="25" name="TextBox 24">
          <a:extLst>
            <a:ext uri="{FF2B5EF4-FFF2-40B4-BE49-F238E27FC236}">
              <a16:creationId xmlns:a16="http://schemas.microsoft.com/office/drawing/2014/main" id="{29683152-EC2A-B6A3-B6D9-1FCCF941CCCE}"/>
            </a:ext>
          </a:extLst>
        </xdr:cNvPr>
        <xdr:cNvSpPr txBox="1"/>
      </xdr:nvSpPr>
      <xdr:spPr>
        <a:xfrm>
          <a:off x="2033022" y="1865916"/>
          <a:ext cx="1429175" cy="30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Total Account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237656</xdr:colOff>
      <xdr:row>17</xdr:row>
      <xdr:rowOff>106235</xdr:rowOff>
    </xdr:from>
    <xdr:to>
      <xdr:col>5</xdr:col>
      <xdr:colOff>463673</xdr:colOff>
      <xdr:row>19</xdr:row>
      <xdr:rowOff>51571</xdr:rowOff>
    </xdr:to>
    <xdr:sp macro="" textlink="">
      <xdr:nvSpPr>
        <xdr:cNvPr id="26" name="TextBox 25">
          <a:extLst>
            <a:ext uri="{FF2B5EF4-FFF2-40B4-BE49-F238E27FC236}">
              <a16:creationId xmlns:a16="http://schemas.microsoft.com/office/drawing/2014/main" id="{9E43A218-4C37-4DE8-9963-265A2120AD6C}"/>
            </a:ext>
          </a:extLst>
        </xdr:cNvPr>
        <xdr:cNvSpPr txBox="1"/>
      </xdr:nvSpPr>
      <xdr:spPr>
        <a:xfrm>
          <a:off x="2042393" y="3231103"/>
          <a:ext cx="1429175" cy="31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Total</a:t>
          </a:r>
          <a:r>
            <a:rPr lang="en-GB" sz="1400" b="1" baseline="0">
              <a:latin typeface="Calibri" panose="020F0502020204030204" pitchFamily="34" charset="0"/>
              <a:ea typeface="Calibri" panose="020F0502020204030204" pitchFamily="34" charset="0"/>
              <a:cs typeface="Calibri" panose="020F0502020204030204" pitchFamily="34" charset="0"/>
            </a:rPr>
            <a:t> Amount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242491</xdr:colOff>
      <xdr:row>25</xdr:row>
      <xdr:rowOff>75954</xdr:rowOff>
    </xdr:from>
    <xdr:to>
      <xdr:col>5</xdr:col>
      <xdr:colOff>535022</xdr:colOff>
      <xdr:row>27</xdr:row>
      <xdr:rowOff>45604</xdr:rowOff>
    </xdr:to>
    <xdr:sp macro="" textlink="">
      <xdr:nvSpPr>
        <xdr:cNvPr id="27" name="TextBox 26">
          <a:extLst>
            <a:ext uri="{FF2B5EF4-FFF2-40B4-BE49-F238E27FC236}">
              <a16:creationId xmlns:a16="http://schemas.microsoft.com/office/drawing/2014/main" id="{921F4618-F860-443A-93BC-375E3B241D35}"/>
            </a:ext>
          </a:extLst>
        </xdr:cNvPr>
        <xdr:cNvSpPr txBox="1"/>
      </xdr:nvSpPr>
      <xdr:spPr>
        <a:xfrm>
          <a:off x="2047228" y="4671349"/>
          <a:ext cx="1495689" cy="33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latin typeface="Calibri" panose="020F0502020204030204" pitchFamily="34" charset="0"/>
              <a:ea typeface="Calibri" panose="020F0502020204030204" pitchFamily="34" charset="0"/>
              <a:cs typeface="Calibri" panose="020F0502020204030204" pitchFamily="34" charset="0"/>
            </a:rPr>
            <a:t>Transactions</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102030</xdr:colOff>
      <xdr:row>32</xdr:row>
      <xdr:rowOff>55300</xdr:rowOff>
    </xdr:from>
    <xdr:to>
      <xdr:col>5</xdr:col>
      <xdr:colOff>532754</xdr:colOff>
      <xdr:row>34</xdr:row>
      <xdr:rowOff>66277</xdr:rowOff>
    </xdr:to>
    <xdr:sp macro="" textlink="">
      <xdr:nvSpPr>
        <xdr:cNvPr id="28" name="TextBox 27">
          <a:extLst>
            <a:ext uri="{FF2B5EF4-FFF2-40B4-BE49-F238E27FC236}">
              <a16:creationId xmlns:a16="http://schemas.microsoft.com/office/drawing/2014/main" id="{7DB0A85F-338E-4C30-96A2-6749AB9A63FA}"/>
            </a:ext>
          </a:extLst>
        </xdr:cNvPr>
        <xdr:cNvSpPr txBox="1"/>
      </xdr:nvSpPr>
      <xdr:spPr>
        <a:xfrm>
          <a:off x="1906767" y="5937405"/>
          <a:ext cx="1633882" cy="37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latin typeface="Calibri" panose="020F0502020204030204" pitchFamily="34" charset="0"/>
              <a:ea typeface="Calibri" panose="020F0502020204030204" pitchFamily="34" charset="0"/>
              <a:cs typeface="Calibri" panose="020F0502020204030204" pitchFamily="34" charset="0"/>
            </a:rPr>
            <a:t>Average Amount</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96864</xdr:colOff>
      <xdr:row>10</xdr:row>
      <xdr:rowOff>161442</xdr:rowOff>
    </xdr:from>
    <xdr:to>
      <xdr:col>9</xdr:col>
      <xdr:colOff>441238</xdr:colOff>
      <xdr:row>19</xdr:row>
      <xdr:rowOff>1</xdr:rowOff>
    </xdr:to>
    <xdr:graphicFrame macro="">
      <xdr:nvGraphicFramePr>
        <xdr:cNvPr id="29" name="Chart 28">
          <a:extLst>
            <a:ext uri="{FF2B5EF4-FFF2-40B4-BE49-F238E27FC236}">
              <a16:creationId xmlns:a16="http://schemas.microsoft.com/office/drawing/2014/main" id="{0B8B6E88-0A89-416C-B58A-3B8CC1751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129152</xdr:colOff>
      <xdr:row>13</xdr:row>
      <xdr:rowOff>32288</xdr:rowOff>
    </xdr:from>
    <xdr:to>
      <xdr:col>8</xdr:col>
      <xdr:colOff>403601</xdr:colOff>
      <xdr:row>14</xdr:row>
      <xdr:rowOff>113009</xdr:rowOff>
    </xdr:to>
    <xdr:sp macro="" textlink="">
      <xdr:nvSpPr>
        <xdr:cNvPr id="30" name="TextBox 29">
          <a:extLst>
            <a:ext uri="{FF2B5EF4-FFF2-40B4-BE49-F238E27FC236}">
              <a16:creationId xmlns:a16="http://schemas.microsoft.com/office/drawing/2014/main" id="{78915678-69B2-E9F0-C96F-D8A8EC25321F}"/>
            </a:ext>
          </a:extLst>
        </xdr:cNvPr>
        <xdr:cNvSpPr txBox="1"/>
      </xdr:nvSpPr>
      <xdr:spPr>
        <a:xfrm>
          <a:off x="4423474" y="2550763"/>
          <a:ext cx="887924" cy="27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Deposit</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193728</xdr:colOff>
      <xdr:row>14</xdr:row>
      <xdr:rowOff>129153</xdr:rowOff>
    </xdr:from>
    <xdr:to>
      <xdr:col>8</xdr:col>
      <xdr:colOff>492673</xdr:colOff>
      <xdr:row>17</xdr:row>
      <xdr:rowOff>82112</xdr:rowOff>
    </xdr:to>
    <xdr:sp macro="" textlink="percentdepo">
      <xdr:nvSpPr>
        <xdr:cNvPr id="31" name="TextBox 30">
          <a:extLst>
            <a:ext uri="{FF2B5EF4-FFF2-40B4-BE49-F238E27FC236}">
              <a16:creationId xmlns:a16="http://schemas.microsoft.com/office/drawing/2014/main" id="{42B7A3D0-4CF3-4F8F-7261-2C5D1E400F43}"/>
            </a:ext>
          </a:extLst>
        </xdr:cNvPr>
        <xdr:cNvSpPr txBox="1"/>
      </xdr:nvSpPr>
      <xdr:spPr>
        <a:xfrm>
          <a:off x="4447133" y="2888119"/>
          <a:ext cx="906574" cy="544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9ECA63-2E30-4E0B-ABFE-CDB9C36DEA5D}"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24.7%</a:t>
          </a:fld>
          <a:endParaRPr lang="en-NG"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96864</xdr:colOff>
      <xdr:row>10</xdr:row>
      <xdr:rowOff>145296</xdr:rowOff>
    </xdr:from>
    <xdr:to>
      <xdr:col>13</xdr:col>
      <xdr:colOff>452033</xdr:colOff>
      <xdr:row>18</xdr:row>
      <xdr:rowOff>177584</xdr:rowOff>
    </xdr:to>
    <xdr:graphicFrame macro="">
      <xdr:nvGraphicFramePr>
        <xdr:cNvPr id="32" name="Chart 31">
          <a:extLst>
            <a:ext uri="{FF2B5EF4-FFF2-40B4-BE49-F238E27FC236}">
              <a16:creationId xmlns:a16="http://schemas.microsoft.com/office/drawing/2014/main" id="{585521CF-95DB-475C-8A20-C7C323C10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410703</xdr:colOff>
      <xdr:row>13</xdr:row>
      <xdr:rowOff>7103</xdr:rowOff>
    </xdr:from>
    <xdr:to>
      <xdr:col>12</xdr:col>
      <xdr:colOff>161439</xdr:colOff>
      <xdr:row>14</xdr:row>
      <xdr:rowOff>96864</xdr:rowOff>
    </xdr:to>
    <xdr:sp macro="" textlink="">
      <xdr:nvSpPr>
        <xdr:cNvPr id="33" name="TextBox 32">
          <a:extLst>
            <a:ext uri="{FF2B5EF4-FFF2-40B4-BE49-F238E27FC236}">
              <a16:creationId xmlns:a16="http://schemas.microsoft.com/office/drawing/2014/main" id="{58F93499-A982-4973-9B14-A7472DB9219F}"/>
            </a:ext>
          </a:extLst>
        </xdr:cNvPr>
        <xdr:cNvSpPr txBox="1"/>
      </xdr:nvSpPr>
      <xdr:spPr>
        <a:xfrm>
          <a:off x="6545449" y="2525578"/>
          <a:ext cx="977685" cy="28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Payment</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484320</xdr:colOff>
      <xdr:row>10</xdr:row>
      <xdr:rowOff>145298</xdr:rowOff>
    </xdr:from>
    <xdr:to>
      <xdr:col>17</xdr:col>
      <xdr:colOff>143477</xdr:colOff>
      <xdr:row>19</xdr:row>
      <xdr:rowOff>1</xdr:rowOff>
    </xdr:to>
    <xdr:graphicFrame macro="">
      <xdr:nvGraphicFramePr>
        <xdr:cNvPr id="34" name="Chart 33">
          <a:extLst>
            <a:ext uri="{FF2B5EF4-FFF2-40B4-BE49-F238E27FC236}">
              <a16:creationId xmlns:a16="http://schemas.microsoft.com/office/drawing/2014/main" id="{7E9FAB10-6196-47C6-BE72-1361466FE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159500</xdr:colOff>
      <xdr:row>13</xdr:row>
      <xdr:rowOff>14207</xdr:rowOff>
    </xdr:from>
    <xdr:to>
      <xdr:col>15</xdr:col>
      <xdr:colOff>523710</xdr:colOff>
      <xdr:row>14</xdr:row>
      <xdr:rowOff>103968</xdr:rowOff>
    </xdr:to>
    <xdr:sp macro="" textlink="">
      <xdr:nvSpPr>
        <xdr:cNvPr id="35" name="TextBox 34">
          <a:extLst>
            <a:ext uri="{FF2B5EF4-FFF2-40B4-BE49-F238E27FC236}">
              <a16:creationId xmlns:a16="http://schemas.microsoft.com/office/drawing/2014/main" id="{7C7C0CEB-680C-4C79-BC3C-289F2356B1CB}"/>
            </a:ext>
          </a:extLst>
        </xdr:cNvPr>
        <xdr:cNvSpPr txBox="1"/>
      </xdr:nvSpPr>
      <xdr:spPr>
        <a:xfrm>
          <a:off x="8748144" y="2532682"/>
          <a:ext cx="977685" cy="28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Transfer</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226014</xdr:colOff>
      <xdr:row>14</xdr:row>
      <xdr:rowOff>161441</xdr:rowOff>
    </xdr:from>
    <xdr:to>
      <xdr:col>15</xdr:col>
      <xdr:colOff>403599</xdr:colOff>
      <xdr:row>16</xdr:row>
      <xdr:rowOff>161441</xdr:rowOff>
    </xdr:to>
    <xdr:sp macro="" textlink="lll">
      <xdr:nvSpPr>
        <xdr:cNvPr id="36" name="TextBox 35">
          <a:extLst>
            <a:ext uri="{FF2B5EF4-FFF2-40B4-BE49-F238E27FC236}">
              <a16:creationId xmlns:a16="http://schemas.microsoft.com/office/drawing/2014/main" id="{18710F3F-9F31-D2D5-8336-FC00E2E16CE4}"/>
            </a:ext>
          </a:extLst>
        </xdr:cNvPr>
        <xdr:cNvSpPr txBox="1"/>
      </xdr:nvSpPr>
      <xdr:spPr>
        <a:xfrm>
          <a:off x="8814658" y="2873644"/>
          <a:ext cx="791060"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94274C-7409-4AFE-8AA4-32041CDEE7AD}"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24.4%</a:t>
          </a:fld>
          <a:endParaRPr lang="en-US"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258305</xdr:colOff>
      <xdr:row>10</xdr:row>
      <xdr:rowOff>145297</xdr:rowOff>
    </xdr:from>
    <xdr:to>
      <xdr:col>20</xdr:col>
      <xdr:colOff>548898</xdr:colOff>
      <xdr:row>19</xdr:row>
      <xdr:rowOff>14184</xdr:rowOff>
    </xdr:to>
    <xdr:graphicFrame macro="">
      <xdr:nvGraphicFramePr>
        <xdr:cNvPr id="37" name="Chart 36">
          <a:extLst>
            <a:ext uri="{FF2B5EF4-FFF2-40B4-BE49-F238E27FC236}">
              <a16:creationId xmlns:a16="http://schemas.microsoft.com/office/drawing/2014/main" id="{7E9F0AD8-7A31-48CA-8275-9CEDFEAD7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424910</xdr:colOff>
      <xdr:row>13</xdr:row>
      <xdr:rowOff>69743</xdr:rowOff>
    </xdr:from>
    <xdr:to>
      <xdr:col>19</xdr:col>
      <xdr:colOff>426983</xdr:colOff>
      <xdr:row>15</xdr:row>
      <xdr:rowOff>0</xdr:rowOff>
    </xdr:to>
    <xdr:sp macro="" textlink="">
      <xdr:nvSpPr>
        <xdr:cNvPr id="38" name="TextBox 37">
          <a:extLst>
            <a:ext uri="{FF2B5EF4-FFF2-40B4-BE49-F238E27FC236}">
              <a16:creationId xmlns:a16="http://schemas.microsoft.com/office/drawing/2014/main" id="{8A99F780-764A-42EE-A065-B3900B980076}"/>
            </a:ext>
          </a:extLst>
        </xdr:cNvPr>
        <xdr:cNvSpPr txBox="1"/>
      </xdr:nvSpPr>
      <xdr:spPr>
        <a:xfrm>
          <a:off x="10754608" y="2631640"/>
          <a:ext cx="1217332" cy="32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Withdrawal</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18</xdr:col>
      <xdr:colOff>64577</xdr:colOff>
      <xdr:row>15</xdr:row>
      <xdr:rowOff>32288</xdr:rowOff>
    </xdr:from>
    <xdr:to>
      <xdr:col>19</xdr:col>
      <xdr:colOff>290593</xdr:colOff>
      <xdr:row>17</xdr:row>
      <xdr:rowOff>48432</xdr:rowOff>
    </xdr:to>
    <xdr:sp macro="" textlink="withd">
      <xdr:nvSpPr>
        <xdr:cNvPr id="39" name="TextBox 38">
          <a:extLst>
            <a:ext uri="{FF2B5EF4-FFF2-40B4-BE49-F238E27FC236}">
              <a16:creationId xmlns:a16="http://schemas.microsoft.com/office/drawing/2014/main" id="{E4B71D93-8815-E434-6A62-7799694CF7B8}"/>
            </a:ext>
          </a:extLst>
        </xdr:cNvPr>
        <xdr:cNvSpPr txBox="1"/>
      </xdr:nvSpPr>
      <xdr:spPr>
        <a:xfrm>
          <a:off x="11107119" y="2938220"/>
          <a:ext cx="839491" cy="403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2D8554-C12D-447C-8068-45D02772A997}" type="TxLink">
            <a:rPr lang="en-US" sz="1800" b="1" i="0" u="none" strike="noStrike">
              <a:solidFill>
                <a:srgbClr val="000000"/>
              </a:solidFill>
              <a:latin typeface="Aptos Narrow"/>
            </a:rPr>
            <a:pPr/>
            <a:t>25.5%</a:t>
          </a:fld>
          <a:endParaRPr lang="en-NG" sz="1800" b="1"/>
        </a:p>
      </xdr:txBody>
    </xdr:sp>
    <xdr:clientData/>
  </xdr:twoCellAnchor>
  <xdr:twoCellAnchor>
    <xdr:from>
      <xdr:col>5</xdr:col>
      <xdr:colOff>597331</xdr:colOff>
      <xdr:row>9</xdr:row>
      <xdr:rowOff>80721</xdr:rowOff>
    </xdr:from>
    <xdr:to>
      <xdr:col>13</xdr:col>
      <xdr:colOff>32289</xdr:colOff>
      <xdr:row>11</xdr:row>
      <xdr:rowOff>64576</xdr:rowOff>
    </xdr:to>
    <xdr:sp macro="" textlink="">
      <xdr:nvSpPr>
        <xdr:cNvPr id="40" name="TextBox 39">
          <a:extLst>
            <a:ext uri="{FF2B5EF4-FFF2-40B4-BE49-F238E27FC236}">
              <a16:creationId xmlns:a16="http://schemas.microsoft.com/office/drawing/2014/main" id="{41089945-35F3-CD90-762F-798455CDD4E6}"/>
            </a:ext>
          </a:extLst>
        </xdr:cNvPr>
        <xdr:cNvSpPr txBox="1"/>
      </xdr:nvSpPr>
      <xdr:spPr>
        <a:xfrm>
          <a:off x="3664704" y="1824280"/>
          <a:ext cx="4342754" cy="37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Calibri" panose="020F0502020204030204" pitchFamily="34" charset="0"/>
              <a:ea typeface="Calibri" panose="020F0502020204030204" pitchFamily="34" charset="0"/>
              <a:cs typeface="Calibri" panose="020F0502020204030204" pitchFamily="34" charset="0"/>
            </a:rPr>
            <a:t>Where is the money flowing by Transaction Type?</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64575</xdr:colOff>
      <xdr:row>19</xdr:row>
      <xdr:rowOff>170289</xdr:rowOff>
    </xdr:from>
    <xdr:to>
      <xdr:col>21</xdr:col>
      <xdr:colOff>435889</xdr:colOff>
      <xdr:row>35</xdr:row>
      <xdr:rowOff>106650</xdr:rowOff>
    </xdr:to>
    <xdr:graphicFrame macro="">
      <xdr:nvGraphicFramePr>
        <xdr:cNvPr id="2" name="Chart 1">
          <a:extLst>
            <a:ext uri="{FF2B5EF4-FFF2-40B4-BE49-F238E27FC236}">
              <a16:creationId xmlns:a16="http://schemas.microsoft.com/office/drawing/2014/main" id="{776DA211-C682-4869-8875-9E96982E6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79438</xdr:colOff>
      <xdr:row>18</xdr:row>
      <xdr:rowOff>156147</xdr:rowOff>
    </xdr:from>
    <xdr:to>
      <xdr:col>15</xdr:col>
      <xdr:colOff>93688</xdr:colOff>
      <xdr:row>37</xdr:row>
      <xdr:rowOff>177585</xdr:rowOff>
    </xdr:to>
    <xdr:cxnSp macro="">
      <xdr:nvCxnSpPr>
        <xdr:cNvPr id="4" name="Straight Connector 3">
          <a:extLst>
            <a:ext uri="{FF2B5EF4-FFF2-40B4-BE49-F238E27FC236}">
              <a16:creationId xmlns:a16="http://schemas.microsoft.com/office/drawing/2014/main" id="{2FC605FC-D4F9-3229-83F9-34AE2D970963}"/>
            </a:ext>
          </a:extLst>
        </xdr:cNvPr>
        <xdr:cNvCxnSpPr/>
      </xdr:nvCxnSpPr>
      <xdr:spPr>
        <a:xfrm flipH="1">
          <a:off x="9214069" y="3528934"/>
          <a:ext cx="14250" cy="3581602"/>
        </a:xfrm>
        <a:prstGeom prst="line">
          <a:avLst/>
        </a:prstGeom>
        <a:ln w="6350">
          <a:solidFill>
            <a:schemeClr val="accent2">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183210</xdr:colOff>
      <xdr:row>19</xdr:row>
      <xdr:rowOff>15311</xdr:rowOff>
    </xdr:from>
    <xdr:to>
      <xdr:col>21</xdr:col>
      <xdr:colOff>359141</xdr:colOff>
      <xdr:row>21</xdr:row>
      <xdr:rowOff>31230</xdr:rowOff>
    </xdr:to>
    <xdr:sp macro="" textlink="">
      <xdr:nvSpPr>
        <xdr:cNvPr id="7" name="TextBox 6">
          <a:extLst>
            <a:ext uri="{FF2B5EF4-FFF2-40B4-BE49-F238E27FC236}">
              <a16:creationId xmlns:a16="http://schemas.microsoft.com/office/drawing/2014/main" id="{3CB7E7ED-473E-E7AB-E83C-8CA7B39D216B}"/>
            </a:ext>
          </a:extLst>
        </xdr:cNvPr>
        <xdr:cNvSpPr txBox="1"/>
      </xdr:nvSpPr>
      <xdr:spPr>
        <a:xfrm>
          <a:off x="9317841" y="3575475"/>
          <a:ext cx="3829784" cy="39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Which</a:t>
          </a:r>
          <a:r>
            <a:rPr lang="en-GB" sz="1400" b="1" baseline="0">
              <a:latin typeface="Calibri" panose="020F0502020204030204" pitchFamily="34" charset="0"/>
              <a:ea typeface="Calibri" panose="020F0502020204030204" pitchFamily="34" charset="0"/>
              <a:cs typeface="Calibri" panose="020F0502020204030204" pitchFamily="34" charset="0"/>
            </a:rPr>
            <a:t> Channel Handles The Most Value?</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91635</xdr:colOff>
      <xdr:row>34</xdr:row>
      <xdr:rowOff>102322</xdr:rowOff>
    </xdr:from>
    <xdr:to>
      <xdr:col>21</xdr:col>
      <xdr:colOff>254895</xdr:colOff>
      <xdr:row>38</xdr:row>
      <xdr:rowOff>53890</xdr:rowOff>
    </xdr:to>
    <xdr:sp macro="" textlink="">
      <xdr:nvSpPr>
        <xdr:cNvPr id="8" name="TextBox 7">
          <a:extLst>
            <a:ext uri="{FF2B5EF4-FFF2-40B4-BE49-F238E27FC236}">
              <a16:creationId xmlns:a16="http://schemas.microsoft.com/office/drawing/2014/main" id="{DDD6BAD6-97DF-4071-0EC4-3A30541E5330}"/>
            </a:ext>
          </a:extLst>
        </xdr:cNvPr>
        <xdr:cNvSpPr txBox="1"/>
      </xdr:nvSpPr>
      <xdr:spPr>
        <a:xfrm>
          <a:off x="9147093" y="6488097"/>
          <a:ext cx="3785443" cy="70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FF0000"/>
              </a:solidFill>
              <a:latin typeface="Calibri" panose="020F0502020204030204" pitchFamily="34" charset="0"/>
              <a:ea typeface="Calibri" panose="020F0502020204030204" pitchFamily="34" charset="0"/>
              <a:cs typeface="Calibri" panose="020F0502020204030204" pitchFamily="34" charset="0"/>
            </a:rPr>
            <a:t>Online and ATM </a:t>
          </a:r>
          <a:r>
            <a:rPr lang="en-GB" sz="1200">
              <a:latin typeface="Calibri" panose="020F0502020204030204" pitchFamily="34" charset="0"/>
              <a:ea typeface="Calibri" panose="020F0502020204030204" pitchFamily="34" charset="0"/>
              <a:cs typeface="Calibri" panose="020F0502020204030204" pitchFamily="34" charset="0"/>
            </a:rPr>
            <a:t>channels show the lowest usage and transaction values, reflecting limited engagement</a:t>
          </a:r>
          <a:r>
            <a:rPr lang="en-GB" sz="1200" baseline="0">
              <a:latin typeface="Calibri" panose="020F0502020204030204" pitchFamily="34" charset="0"/>
              <a:ea typeface="Calibri" panose="020F0502020204030204" pitchFamily="34" charset="0"/>
              <a:cs typeface="Calibri" panose="020F0502020204030204" pitchFamily="34" charset="0"/>
            </a:rPr>
            <a:t> for major transactions.</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575936</xdr:colOff>
      <xdr:row>19</xdr:row>
      <xdr:rowOff>168559</xdr:rowOff>
    </xdr:from>
    <xdr:to>
      <xdr:col>10</xdr:col>
      <xdr:colOff>536187</xdr:colOff>
      <xdr:row>35</xdr:row>
      <xdr:rowOff>169758</xdr:rowOff>
    </xdr:to>
    <xdr:graphicFrame macro="">
      <xdr:nvGraphicFramePr>
        <xdr:cNvPr id="10" name="Chart 9">
          <a:extLst>
            <a:ext uri="{FF2B5EF4-FFF2-40B4-BE49-F238E27FC236}">
              <a16:creationId xmlns:a16="http://schemas.microsoft.com/office/drawing/2014/main" id="{B67C4295-FB66-495E-9E15-F95E0FA66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551956</xdr:colOff>
      <xdr:row>19</xdr:row>
      <xdr:rowOff>50648</xdr:rowOff>
    </xdr:from>
    <xdr:to>
      <xdr:col>10</xdr:col>
      <xdr:colOff>438184</xdr:colOff>
      <xdr:row>20</xdr:row>
      <xdr:rowOff>165287</xdr:rowOff>
    </xdr:to>
    <xdr:sp macro="" textlink="">
      <xdr:nvSpPr>
        <xdr:cNvPr id="41" name="TextBox 40">
          <a:extLst>
            <a:ext uri="{FF2B5EF4-FFF2-40B4-BE49-F238E27FC236}">
              <a16:creationId xmlns:a16="http://schemas.microsoft.com/office/drawing/2014/main" id="{6B32A3B3-E1D0-4824-BC4E-4C0B07F2B02A}"/>
            </a:ext>
          </a:extLst>
        </xdr:cNvPr>
        <xdr:cNvSpPr txBox="1"/>
      </xdr:nvSpPr>
      <xdr:spPr>
        <a:xfrm>
          <a:off x="3559851" y="3543148"/>
          <a:ext cx="2894122" cy="29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Top</a:t>
          </a:r>
          <a:r>
            <a:rPr lang="en-GB" sz="1400" b="1" baseline="0">
              <a:latin typeface="Calibri" panose="020F0502020204030204" pitchFamily="34" charset="0"/>
              <a:ea typeface="Calibri" panose="020F0502020204030204" pitchFamily="34" charset="0"/>
              <a:cs typeface="Calibri" panose="020F0502020204030204" pitchFamily="34" charset="0"/>
            </a:rPr>
            <a:t> 5 Transacting Merchant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525522</xdr:colOff>
      <xdr:row>34</xdr:row>
      <xdr:rowOff>81535</xdr:rowOff>
    </xdr:from>
    <xdr:to>
      <xdr:col>10</xdr:col>
      <xdr:colOff>492675</xdr:colOff>
      <xdr:row>38</xdr:row>
      <xdr:rowOff>97957</xdr:rowOff>
    </xdr:to>
    <xdr:sp macro="" textlink="">
      <xdr:nvSpPr>
        <xdr:cNvPr id="43" name="TextBox 42">
          <a:extLst>
            <a:ext uri="{FF2B5EF4-FFF2-40B4-BE49-F238E27FC236}">
              <a16:creationId xmlns:a16="http://schemas.microsoft.com/office/drawing/2014/main" id="{F86168FB-3BBD-D3F9-FA5D-0F7A1118F53D}"/>
            </a:ext>
          </a:extLst>
        </xdr:cNvPr>
        <xdr:cNvSpPr txBox="1"/>
      </xdr:nvSpPr>
      <xdr:spPr>
        <a:xfrm>
          <a:off x="3533417" y="6331272"/>
          <a:ext cx="2975047" cy="751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These are the merchants</a:t>
          </a:r>
          <a:r>
            <a:rPr lang="en-GB" sz="1200" baseline="0">
              <a:latin typeface="Calibri" panose="020F0502020204030204" pitchFamily="34" charset="0"/>
              <a:ea typeface="Calibri" panose="020F0502020204030204" pitchFamily="34" charset="0"/>
              <a:cs typeface="Calibri" panose="020F0502020204030204" pitchFamily="34" charset="0"/>
            </a:rPr>
            <a:t> with the highest transaction volumes, highlighting those with most significant business activity.</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281060</xdr:colOff>
      <xdr:row>21</xdr:row>
      <xdr:rowOff>15612</xdr:rowOff>
    </xdr:from>
    <xdr:to>
      <xdr:col>15</xdr:col>
      <xdr:colOff>234215</xdr:colOff>
      <xdr:row>32</xdr:row>
      <xdr:rowOff>129931</xdr:rowOff>
    </xdr:to>
    <xdr:graphicFrame macro="">
      <xdr:nvGraphicFramePr>
        <xdr:cNvPr id="44" name="Chart 43">
          <a:extLst>
            <a:ext uri="{FF2B5EF4-FFF2-40B4-BE49-F238E27FC236}">
              <a16:creationId xmlns:a16="http://schemas.microsoft.com/office/drawing/2014/main" id="{86C1D1C1-46B3-4E23-AEEF-F4E34BC6D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405977</xdr:colOff>
      <xdr:row>22</xdr:row>
      <xdr:rowOff>171763</xdr:rowOff>
    </xdr:from>
    <xdr:to>
      <xdr:col>13</xdr:col>
      <xdr:colOff>530896</xdr:colOff>
      <xdr:row>25</xdr:row>
      <xdr:rowOff>15615</xdr:rowOff>
    </xdr:to>
    <xdr:sp macro="" textlink="">
      <xdr:nvSpPr>
        <xdr:cNvPr id="45" name="TextBox 44">
          <a:extLst>
            <a:ext uri="{FF2B5EF4-FFF2-40B4-BE49-F238E27FC236}">
              <a16:creationId xmlns:a16="http://schemas.microsoft.com/office/drawing/2014/main" id="{5E217762-0854-2AD5-67BF-21CCD8DD287F}"/>
            </a:ext>
          </a:extLst>
        </xdr:cNvPr>
        <xdr:cNvSpPr txBox="1"/>
      </xdr:nvSpPr>
      <xdr:spPr>
        <a:xfrm>
          <a:off x="7104707" y="4294058"/>
          <a:ext cx="1342869" cy="405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USERS</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121169</xdr:colOff>
      <xdr:row>26</xdr:row>
      <xdr:rowOff>136789</xdr:rowOff>
    </xdr:from>
    <xdr:to>
      <xdr:col>16</xdr:col>
      <xdr:colOff>78076</xdr:colOff>
      <xdr:row>29</xdr:row>
      <xdr:rowOff>171766</xdr:rowOff>
    </xdr:to>
    <xdr:sp macro="" textlink="">
      <xdr:nvSpPr>
        <xdr:cNvPr id="46" name="TextBox 45">
          <a:extLst>
            <a:ext uri="{FF2B5EF4-FFF2-40B4-BE49-F238E27FC236}">
              <a16:creationId xmlns:a16="http://schemas.microsoft.com/office/drawing/2014/main" id="{B17068CF-18A4-40CE-A76A-DF7216B1CFCD}"/>
            </a:ext>
          </a:extLst>
        </xdr:cNvPr>
        <xdr:cNvSpPr txBox="1"/>
      </xdr:nvSpPr>
      <xdr:spPr>
        <a:xfrm>
          <a:off x="8646825" y="5008592"/>
          <a:ext cx="1174858" cy="597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Calibri" panose="020F0502020204030204" pitchFamily="34" charset="0"/>
              <a:ea typeface="Calibri" panose="020F0502020204030204" pitchFamily="34" charset="0"/>
              <a:cs typeface="Calibri" panose="020F0502020204030204" pitchFamily="34" charset="0"/>
            </a:rPr>
            <a:t>NON</a:t>
          </a:r>
          <a:br>
            <a:rPr lang="en-GB" sz="1400">
              <a:latin typeface="Calibri" panose="020F0502020204030204" pitchFamily="34" charset="0"/>
              <a:ea typeface="Calibri" panose="020F0502020204030204" pitchFamily="34" charset="0"/>
              <a:cs typeface="Calibri" panose="020F0502020204030204" pitchFamily="34" charset="0"/>
            </a:rPr>
          </a:br>
          <a:r>
            <a:rPr lang="en-GB" sz="1400">
              <a:latin typeface="Calibri" panose="020F0502020204030204" pitchFamily="34" charset="0"/>
              <a:ea typeface="Calibri" panose="020F0502020204030204" pitchFamily="34" charset="0"/>
              <a:cs typeface="Calibri" panose="020F0502020204030204" pitchFamily="34" charset="0"/>
            </a:rPr>
            <a:t>USERS</a:t>
          </a:r>
          <a:endParaRPr lang="en-NG"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343625</xdr:colOff>
      <xdr:row>19</xdr:row>
      <xdr:rowOff>2284</xdr:rowOff>
    </xdr:from>
    <xdr:to>
      <xdr:col>15</xdr:col>
      <xdr:colOff>360976</xdr:colOff>
      <xdr:row>21</xdr:row>
      <xdr:rowOff>98051</xdr:rowOff>
    </xdr:to>
    <xdr:sp macro="" textlink="">
      <xdr:nvSpPr>
        <xdr:cNvPr id="48" name="TextBox 47">
          <a:extLst>
            <a:ext uri="{FF2B5EF4-FFF2-40B4-BE49-F238E27FC236}">
              <a16:creationId xmlns:a16="http://schemas.microsoft.com/office/drawing/2014/main" id="{9D535E1F-FD12-4A65-BA0A-09590CB10AE4}"/>
            </a:ext>
          </a:extLst>
        </xdr:cNvPr>
        <xdr:cNvSpPr txBox="1"/>
      </xdr:nvSpPr>
      <xdr:spPr>
        <a:xfrm>
          <a:off x="6433379" y="3562448"/>
          <a:ext cx="3062228" cy="470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Credit</a:t>
          </a:r>
          <a:r>
            <a:rPr lang="en-GB" sz="1400" b="1" baseline="0">
              <a:latin typeface="Calibri" panose="020F0502020204030204" pitchFamily="34" charset="0"/>
              <a:ea typeface="Calibri" panose="020F0502020204030204" pitchFamily="34" charset="0"/>
              <a:cs typeface="Calibri" panose="020F0502020204030204" pitchFamily="34" charset="0"/>
            </a:rPr>
            <a:t> Card Users Transaction Trend</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405982</xdr:colOff>
      <xdr:row>34</xdr:row>
      <xdr:rowOff>62462</xdr:rowOff>
    </xdr:from>
    <xdr:to>
      <xdr:col>15</xdr:col>
      <xdr:colOff>218607</xdr:colOff>
      <xdr:row>38</xdr:row>
      <xdr:rowOff>140536</xdr:rowOff>
    </xdr:to>
    <xdr:sp macro="" textlink="">
      <xdr:nvSpPr>
        <xdr:cNvPr id="49" name="TextBox 48">
          <a:extLst>
            <a:ext uri="{FF2B5EF4-FFF2-40B4-BE49-F238E27FC236}">
              <a16:creationId xmlns:a16="http://schemas.microsoft.com/office/drawing/2014/main" id="{5B4DD2B2-9F11-C9D7-CCCA-A221847E3362}"/>
            </a:ext>
          </a:extLst>
        </xdr:cNvPr>
        <xdr:cNvSpPr txBox="1"/>
      </xdr:nvSpPr>
      <xdr:spPr>
        <a:xfrm>
          <a:off x="6495736" y="6433282"/>
          <a:ext cx="2857502" cy="827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Credit Card owners</a:t>
          </a:r>
          <a:r>
            <a:rPr lang="en-GB" sz="1200" baseline="0">
              <a:latin typeface="Calibri" panose="020F0502020204030204" pitchFamily="34" charset="0"/>
              <a:ea typeface="Calibri" panose="020F0502020204030204" pitchFamily="34" charset="0"/>
              <a:cs typeface="Calibri" panose="020F0502020204030204" pitchFamily="34" charset="0"/>
            </a:rPr>
            <a:t> make 21% of their transactions as payment, Compared to 79% of non-users</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9588</xdr:colOff>
      <xdr:row>5</xdr:row>
      <xdr:rowOff>156148</xdr:rowOff>
    </xdr:from>
    <xdr:to>
      <xdr:col>15</xdr:col>
      <xdr:colOff>252028</xdr:colOff>
      <xdr:row>8</xdr:row>
      <xdr:rowOff>140533</xdr:rowOff>
    </xdr:to>
    <xdr:sp macro="" textlink="">
      <xdr:nvSpPr>
        <xdr:cNvPr id="50" name="TextBox 49">
          <a:extLst>
            <a:ext uri="{FF2B5EF4-FFF2-40B4-BE49-F238E27FC236}">
              <a16:creationId xmlns:a16="http://schemas.microsoft.com/office/drawing/2014/main" id="{54D714C0-51CB-1DD0-0CD7-CDAB7761AE23}"/>
            </a:ext>
          </a:extLst>
        </xdr:cNvPr>
        <xdr:cNvSpPr txBox="1"/>
      </xdr:nvSpPr>
      <xdr:spPr>
        <a:xfrm>
          <a:off x="1814325" y="1075227"/>
          <a:ext cx="7461387" cy="535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Arial Black" panose="020B0A04020102020204" pitchFamily="34" charset="0"/>
            </a:rPr>
            <a:t>METROBANK CUSTOMER TRANSACTION INSIGHTS</a:t>
          </a:r>
          <a:endParaRPr lang="en-NG" sz="2000">
            <a:latin typeface="Arial Black" panose="020B0A04020102020204" pitchFamily="34" charset="0"/>
          </a:endParaRPr>
        </a:p>
      </xdr:txBody>
    </xdr:sp>
    <xdr:clientData/>
  </xdr:twoCellAnchor>
  <xdr:twoCellAnchor>
    <xdr:from>
      <xdr:col>3</xdr:col>
      <xdr:colOff>105362</xdr:colOff>
      <xdr:row>7</xdr:row>
      <xdr:rowOff>69674</xdr:rowOff>
    </xdr:from>
    <xdr:to>
      <xdr:col>13</xdr:col>
      <xdr:colOff>116974</xdr:colOff>
      <xdr:row>9</xdr:row>
      <xdr:rowOff>50132</xdr:rowOff>
    </xdr:to>
    <xdr:sp macro="" textlink="">
      <xdr:nvSpPr>
        <xdr:cNvPr id="3" name="TextBox 2">
          <a:extLst>
            <a:ext uri="{FF2B5EF4-FFF2-40B4-BE49-F238E27FC236}">
              <a16:creationId xmlns:a16="http://schemas.microsoft.com/office/drawing/2014/main" id="{0A63730A-30B6-4764-BFE1-1F2C75145923}"/>
            </a:ext>
          </a:extLst>
        </xdr:cNvPr>
        <xdr:cNvSpPr txBox="1"/>
      </xdr:nvSpPr>
      <xdr:spPr>
        <a:xfrm>
          <a:off x="1910099" y="1356385"/>
          <a:ext cx="6027401" cy="348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Analyzing</a:t>
          </a:r>
          <a:r>
            <a:rPr lang="en-GB" sz="1400" b="1" baseline="0">
              <a:latin typeface="Calibri" panose="020F0502020204030204" pitchFamily="34" charset="0"/>
              <a:ea typeface="Calibri" panose="020F0502020204030204" pitchFamily="34" charset="0"/>
              <a:cs typeface="Calibri" panose="020F0502020204030204" pitchFamily="34" charset="0"/>
            </a:rPr>
            <a:t> Customer transaction patterns and performance.</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33423</xdr:colOff>
      <xdr:row>34</xdr:row>
      <xdr:rowOff>167107</xdr:rowOff>
    </xdr:from>
    <xdr:to>
      <xdr:col>3</xdr:col>
      <xdr:colOff>16632</xdr:colOff>
      <xdr:row>38</xdr:row>
      <xdr:rowOff>16632</xdr:rowOff>
    </xdr:to>
    <xdr:pic>
      <xdr:nvPicPr>
        <xdr:cNvPr id="6" name="Picture 5">
          <a:extLst>
            <a:ext uri="{FF2B5EF4-FFF2-40B4-BE49-F238E27FC236}">
              <a16:creationId xmlns:a16="http://schemas.microsoft.com/office/drawing/2014/main" id="{9D7067D6-0180-CFD5-CE9A-4507D69D6F2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36581" y="6416844"/>
          <a:ext cx="584788" cy="584788"/>
        </a:xfrm>
        <a:prstGeom prst="rect">
          <a:avLst/>
        </a:prstGeom>
      </xdr:spPr>
    </xdr:pic>
    <xdr:clientData/>
  </xdr:twoCellAnchor>
  <xdr:twoCellAnchor editAs="oneCell">
    <xdr:from>
      <xdr:col>2</xdr:col>
      <xdr:colOff>50132</xdr:colOff>
      <xdr:row>31</xdr:row>
      <xdr:rowOff>167114</xdr:rowOff>
    </xdr:from>
    <xdr:to>
      <xdr:col>2</xdr:col>
      <xdr:colOff>584790</xdr:colOff>
      <xdr:row>34</xdr:row>
      <xdr:rowOff>150324</xdr:rowOff>
    </xdr:to>
    <xdr:pic>
      <xdr:nvPicPr>
        <xdr:cNvPr id="42" name="Picture 41">
          <a:extLst>
            <a:ext uri="{FF2B5EF4-FFF2-40B4-BE49-F238E27FC236}">
              <a16:creationId xmlns:a16="http://schemas.microsoft.com/office/drawing/2014/main" id="{2323C140-8316-5E26-3E95-119CF57FA3D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53290" y="5865403"/>
          <a:ext cx="534658" cy="534658"/>
        </a:xfrm>
        <a:prstGeom prst="rect">
          <a:avLst/>
        </a:prstGeom>
      </xdr:spPr>
    </xdr:pic>
    <xdr:clientData/>
  </xdr:twoCellAnchor>
  <xdr:twoCellAnchor editAs="oneCell">
    <xdr:from>
      <xdr:col>2</xdr:col>
      <xdr:colOff>50132</xdr:colOff>
      <xdr:row>5</xdr:row>
      <xdr:rowOff>66840</xdr:rowOff>
    </xdr:from>
    <xdr:to>
      <xdr:col>3</xdr:col>
      <xdr:colOff>58077</xdr:colOff>
      <xdr:row>9</xdr:row>
      <xdr:rowOff>116972</xdr:rowOff>
    </xdr:to>
    <xdr:pic>
      <xdr:nvPicPr>
        <xdr:cNvPr id="57" name="Picture 56">
          <a:extLst>
            <a:ext uri="{FF2B5EF4-FFF2-40B4-BE49-F238E27FC236}">
              <a16:creationId xmlns:a16="http://schemas.microsoft.com/office/drawing/2014/main" id="{A7075738-367E-F4AF-F5D5-8C2814AF989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53290" y="985919"/>
          <a:ext cx="609524" cy="785395"/>
        </a:xfrm>
        <a:prstGeom prst="rect">
          <a:avLst/>
        </a:prstGeom>
      </xdr:spPr>
    </xdr:pic>
    <xdr:clientData/>
  </xdr:twoCellAnchor>
  <xdr:twoCellAnchor editAs="oneCell">
    <xdr:from>
      <xdr:col>19</xdr:col>
      <xdr:colOff>452154</xdr:colOff>
      <xdr:row>5</xdr:row>
      <xdr:rowOff>48160</xdr:rowOff>
    </xdr:from>
    <xdr:to>
      <xdr:col>20</xdr:col>
      <xdr:colOff>518484</xdr:colOff>
      <xdr:row>8</xdr:row>
      <xdr:rowOff>180716</xdr:rowOff>
    </xdr:to>
    <xdr:pic>
      <xdr:nvPicPr>
        <xdr:cNvPr id="59" name="Picture 58">
          <a:extLst>
            <a:ext uri="{FF2B5EF4-FFF2-40B4-BE49-F238E27FC236}">
              <a16:creationId xmlns:a16="http://schemas.microsoft.com/office/drawing/2014/main" id="{7C0D6F11-D295-6128-5287-25934B1C851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221892">
          <a:off x="11882154" y="967239"/>
          <a:ext cx="667909" cy="684003"/>
        </a:xfrm>
        <a:prstGeom prst="ellipse">
          <a:avLst/>
        </a:prstGeom>
        <a:noFill/>
        <a:ln w="12700">
          <a:solidFill>
            <a:schemeClr val="tx1">
              <a:lumMod val="50000"/>
              <a:lumOff val="50000"/>
            </a:schemeClr>
          </a:solidFill>
          <a:prstDash val="solid"/>
        </a:ln>
        <a:effectLst>
          <a:outerShdw blurRad="50800" dist="50800" dir="5100000" algn="ctr" rotWithShape="0">
            <a:srgbClr val="000000">
              <a:alpha val="46000"/>
            </a:srgbClr>
          </a:outerShdw>
        </a:effectLst>
      </xdr:spPr>
    </xdr:pic>
    <xdr:clientData/>
  </xdr:twoCellAnchor>
  <xdr:twoCellAnchor>
    <xdr:from>
      <xdr:col>17</xdr:col>
      <xdr:colOff>543270</xdr:colOff>
      <xdr:row>6</xdr:row>
      <xdr:rowOff>9392</xdr:rowOff>
    </xdr:from>
    <xdr:to>
      <xdr:col>19</xdr:col>
      <xdr:colOff>501314</xdr:colOff>
      <xdr:row>7</xdr:row>
      <xdr:rowOff>100263</xdr:rowOff>
    </xdr:to>
    <xdr:sp macro="" textlink="">
      <xdr:nvSpPr>
        <xdr:cNvPr id="60" name="TextBox 59">
          <a:extLst>
            <a:ext uri="{FF2B5EF4-FFF2-40B4-BE49-F238E27FC236}">
              <a16:creationId xmlns:a16="http://schemas.microsoft.com/office/drawing/2014/main" id="{991DFA4D-8645-4DEE-A27B-816FE71E9B4D}"/>
            </a:ext>
          </a:extLst>
        </xdr:cNvPr>
        <xdr:cNvSpPr txBox="1"/>
      </xdr:nvSpPr>
      <xdr:spPr>
        <a:xfrm>
          <a:off x="10770112" y="1112287"/>
          <a:ext cx="1161202" cy="2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Calibri" panose="020F0502020204030204" pitchFamily="34" charset="0"/>
              <a:ea typeface="Calibri" panose="020F0502020204030204" pitchFamily="34" charset="0"/>
              <a:cs typeface="Calibri" panose="020F0502020204030204" pitchFamily="34" charset="0"/>
            </a:rPr>
            <a:t>Tobiloba</a:t>
          </a:r>
          <a:r>
            <a:rPr lang="en-GB" sz="1600" b="1" baseline="0">
              <a:latin typeface="Calibri" panose="020F0502020204030204" pitchFamily="34" charset="0"/>
              <a:ea typeface="Calibri" panose="020F0502020204030204" pitchFamily="34" charset="0"/>
              <a:cs typeface="Calibri" panose="020F0502020204030204" pitchFamily="34" charset="0"/>
            </a:rPr>
            <a:t> A.</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578712</xdr:colOff>
      <xdr:row>7</xdr:row>
      <xdr:rowOff>28102</xdr:rowOff>
    </xdr:from>
    <xdr:to>
      <xdr:col>19</xdr:col>
      <xdr:colOff>484608</xdr:colOff>
      <xdr:row>9</xdr:row>
      <xdr:rowOff>33421</xdr:rowOff>
    </xdr:to>
    <xdr:sp macro="" textlink="">
      <xdr:nvSpPr>
        <xdr:cNvPr id="61" name="TextBox 60">
          <a:extLst>
            <a:ext uri="{FF2B5EF4-FFF2-40B4-BE49-F238E27FC236}">
              <a16:creationId xmlns:a16="http://schemas.microsoft.com/office/drawing/2014/main" id="{0A78819A-9AAD-4046-83AA-6973C18BD9BA}"/>
            </a:ext>
          </a:extLst>
        </xdr:cNvPr>
        <xdr:cNvSpPr txBox="1"/>
      </xdr:nvSpPr>
      <xdr:spPr>
        <a:xfrm>
          <a:off x="10805554" y="1314813"/>
          <a:ext cx="1109054" cy="37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Data</a:t>
          </a:r>
          <a:r>
            <a:rPr lang="en-GB" sz="1200" baseline="0">
              <a:latin typeface="Calibri" panose="020F0502020204030204" pitchFamily="34" charset="0"/>
              <a:ea typeface="Calibri" panose="020F0502020204030204" pitchFamily="34" charset="0"/>
              <a:cs typeface="Calibri" panose="020F0502020204030204" pitchFamily="34" charset="0"/>
            </a:rPr>
            <a:t> Analyst</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0.36782</cdr:x>
      <cdr:y>0.4898</cdr:y>
    </cdr:from>
    <cdr:to>
      <cdr:x>0.64943</cdr:x>
      <cdr:y>0.67347</cdr:y>
    </cdr:to>
    <cdr:sp macro="" textlink="paypercent">
      <cdr:nvSpPr>
        <cdr:cNvPr id="2" name="TextBox 1">
          <a:extLst xmlns:a="http://schemas.openxmlformats.org/drawingml/2006/main">
            <a:ext uri="{FF2B5EF4-FFF2-40B4-BE49-F238E27FC236}">
              <a16:creationId xmlns:a16="http://schemas.microsoft.com/office/drawing/2014/main" id="{6E852C4B-E267-012D-8F07-1797DD4822BF}"/>
            </a:ext>
          </a:extLst>
        </cdr:cNvPr>
        <cdr:cNvSpPr txBox="1"/>
      </cdr:nvSpPr>
      <cdr:spPr>
        <a:xfrm xmlns:a="http://schemas.openxmlformats.org/drawingml/2006/main">
          <a:off x="1033219" y="774916"/>
          <a:ext cx="791060" cy="2905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DCF2871-90F6-40F2-B749-C076CF9B53B4}" type="TxLink">
            <a:rPr lang="en-US" sz="1800" b="1" i="0" u="none" strike="noStrike" kern="1200">
              <a:solidFill>
                <a:srgbClr val="000000"/>
              </a:solidFill>
              <a:latin typeface="Aptos Narrow"/>
            </a:rPr>
            <a:pPr/>
            <a:t>25.4%</a:t>
          </a:fld>
          <a:endParaRPr lang="en-NG" sz="1800" b="1" kern="1200"/>
        </a:p>
      </cdr:txBody>
    </cdr:sp>
  </cdr:relSizeAnchor>
</c:userShapes>
</file>

<file path=xl/drawings/drawing7.xml><?xml version="1.0" encoding="utf-8"?>
<xdr:wsDr xmlns:xdr="http://schemas.openxmlformats.org/drawingml/2006/spreadsheetDrawing" xmlns:a="http://schemas.openxmlformats.org/drawingml/2006/main">
  <xdr:twoCellAnchor>
    <xdr:from>
      <xdr:col>26</xdr:col>
      <xdr:colOff>333375</xdr:colOff>
      <xdr:row>31</xdr:row>
      <xdr:rowOff>0</xdr:rowOff>
    </xdr:from>
    <xdr:to>
      <xdr:col>62</xdr:col>
      <xdr:colOff>542310</xdr:colOff>
      <xdr:row>93</xdr:row>
      <xdr:rowOff>166687</xdr:rowOff>
    </xdr:to>
    <xdr:grpSp>
      <xdr:nvGrpSpPr>
        <xdr:cNvPr id="195" name="Group 194">
          <a:extLst>
            <a:ext uri="{FF2B5EF4-FFF2-40B4-BE49-F238E27FC236}">
              <a16:creationId xmlns:a16="http://schemas.microsoft.com/office/drawing/2014/main" id="{5F2F9A6E-EFC4-52E5-3380-9D662A9F051E}"/>
            </a:ext>
          </a:extLst>
        </xdr:cNvPr>
        <xdr:cNvGrpSpPr/>
      </xdr:nvGrpSpPr>
      <xdr:grpSpPr>
        <a:xfrm>
          <a:off x="16430625" y="5905500"/>
          <a:ext cx="22497435" cy="11977687"/>
          <a:chOff x="-4572000" y="-1887794"/>
          <a:chExt cx="23449935" cy="23310425"/>
        </a:xfrm>
      </xdr:grpSpPr>
      <xdr:grpSp>
        <xdr:nvGrpSpPr>
          <xdr:cNvPr id="196" name="Group 195">
            <a:extLst>
              <a:ext uri="{FF2B5EF4-FFF2-40B4-BE49-F238E27FC236}">
                <a16:creationId xmlns:a16="http://schemas.microsoft.com/office/drawing/2014/main" id="{8BD793E8-55E7-736F-8B96-D99CC61C1D1C}"/>
              </a:ext>
            </a:extLst>
          </xdr:cNvPr>
          <xdr:cNvGrpSpPr/>
        </xdr:nvGrpSpPr>
        <xdr:grpSpPr>
          <a:xfrm>
            <a:off x="-4572000" y="-1887794"/>
            <a:ext cx="23449935" cy="23302452"/>
            <a:chOff x="-4572000" y="-884902"/>
            <a:chExt cx="23449935" cy="22299560"/>
          </a:xfrm>
        </xdr:grpSpPr>
        <xdr:sp macro="" textlink="">
          <xdr:nvSpPr>
            <xdr:cNvPr id="209" name="Rectangle: Rounded Corners 208">
              <a:extLst>
                <a:ext uri="{FF2B5EF4-FFF2-40B4-BE49-F238E27FC236}">
                  <a16:creationId xmlns:a16="http://schemas.microsoft.com/office/drawing/2014/main" id="{ED276DA7-904C-53AC-D05B-0D2FBEB2E4AE}"/>
                </a:ext>
              </a:extLst>
            </xdr:cNvPr>
            <xdr:cNvSpPr/>
          </xdr:nvSpPr>
          <xdr:spPr>
            <a:xfrm>
              <a:off x="-4572000" y="-884902"/>
              <a:ext cx="23449935" cy="22299560"/>
            </a:xfrm>
            <a:prstGeom prst="roundRect">
              <a:avLst>
                <a:gd name="adj" fmla="val 1038"/>
              </a:avLst>
            </a:prstGeom>
            <a:solidFill>
              <a:srgbClr val="D0E4E5"/>
            </a:solidFill>
            <a:ln>
              <a:noFill/>
            </a:ln>
            <a:effectLst>
              <a:glow rad="88900">
                <a:schemeClr val="bg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0" name="Rectangle: Rounded Corners 209">
              <a:extLst>
                <a:ext uri="{FF2B5EF4-FFF2-40B4-BE49-F238E27FC236}">
                  <a16:creationId xmlns:a16="http://schemas.microsoft.com/office/drawing/2014/main" id="{4C984910-0583-6B5A-AB5E-6FE06F5F0FDC}"/>
                </a:ext>
              </a:extLst>
            </xdr:cNvPr>
            <xdr:cNvSpPr/>
          </xdr:nvSpPr>
          <xdr:spPr>
            <a:xfrm>
              <a:off x="77238" y="7554562"/>
              <a:ext cx="6773386" cy="13202742"/>
            </a:xfrm>
            <a:prstGeom prst="roundRect">
              <a:avLst>
                <a:gd name="adj" fmla="val 465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1" name="Rectangle: Rounded Corners 210">
              <a:extLst>
                <a:ext uri="{FF2B5EF4-FFF2-40B4-BE49-F238E27FC236}">
                  <a16:creationId xmlns:a16="http://schemas.microsoft.com/office/drawing/2014/main" id="{B730FB91-65CF-6D7E-C50D-1524722C223F}"/>
                </a:ext>
              </a:extLst>
            </xdr:cNvPr>
            <xdr:cNvSpPr/>
          </xdr:nvSpPr>
          <xdr:spPr>
            <a:xfrm>
              <a:off x="7325217" y="7464802"/>
              <a:ext cx="9871402" cy="6334211"/>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2" name="Rectangle: Rounded Corners 211">
              <a:extLst>
                <a:ext uri="{FF2B5EF4-FFF2-40B4-BE49-F238E27FC236}">
                  <a16:creationId xmlns:a16="http://schemas.microsoft.com/office/drawing/2014/main" id="{1B264DFC-6B2B-536F-96C6-DD7A4269E602}"/>
                </a:ext>
              </a:extLst>
            </xdr:cNvPr>
            <xdr:cNvSpPr/>
          </xdr:nvSpPr>
          <xdr:spPr>
            <a:xfrm>
              <a:off x="7325217" y="1179871"/>
              <a:ext cx="9871401" cy="5678129"/>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3" name="Rectangle: Rounded Corners 212">
              <a:extLst>
                <a:ext uri="{FF2B5EF4-FFF2-40B4-BE49-F238E27FC236}">
                  <a16:creationId xmlns:a16="http://schemas.microsoft.com/office/drawing/2014/main" id="{30F50C2E-EB87-6459-B0A5-88DC850F828E}"/>
                </a:ext>
              </a:extLst>
            </xdr:cNvPr>
            <xdr:cNvSpPr/>
          </xdr:nvSpPr>
          <xdr:spPr>
            <a:xfrm>
              <a:off x="7325217" y="14423093"/>
              <a:ext cx="9871402" cy="6334211"/>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grpSp>
      <xdr:sp macro="" textlink="">
        <xdr:nvSpPr>
          <xdr:cNvPr id="197" name="Rectangle: Rounded Corners 196">
            <a:extLst>
              <a:ext uri="{FF2B5EF4-FFF2-40B4-BE49-F238E27FC236}">
                <a16:creationId xmlns:a16="http://schemas.microsoft.com/office/drawing/2014/main" id="{761D57CD-FDC6-46BB-7701-1C22CDA07F18}"/>
              </a:ext>
            </a:extLst>
          </xdr:cNvPr>
          <xdr:cNvSpPr/>
        </xdr:nvSpPr>
        <xdr:spPr>
          <a:xfrm>
            <a:off x="3774970" y="342162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198" name="Rectangle: Rounded Corners 197">
            <a:extLst>
              <a:ext uri="{FF2B5EF4-FFF2-40B4-BE49-F238E27FC236}">
                <a16:creationId xmlns:a16="http://schemas.microsoft.com/office/drawing/2014/main" id="{3C1EA7E7-36FF-D422-FE41-F9AC938E3C5B}"/>
              </a:ext>
            </a:extLst>
          </xdr:cNvPr>
          <xdr:cNvSpPr/>
        </xdr:nvSpPr>
        <xdr:spPr>
          <a:xfrm>
            <a:off x="3774970" y="31539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199" name="Rectangle: Rounded Corners 198">
            <a:extLst>
              <a:ext uri="{FF2B5EF4-FFF2-40B4-BE49-F238E27FC236}">
                <a16:creationId xmlns:a16="http://schemas.microsoft.com/office/drawing/2014/main" id="{DB7B8FB0-4889-51F9-82ED-C68612D86426}"/>
              </a:ext>
            </a:extLst>
          </xdr:cNvPr>
          <xdr:cNvSpPr/>
        </xdr:nvSpPr>
        <xdr:spPr>
          <a:xfrm>
            <a:off x="224723" y="31539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0" name="Rectangle: Rounded Corners 199">
            <a:extLst>
              <a:ext uri="{FF2B5EF4-FFF2-40B4-BE49-F238E27FC236}">
                <a16:creationId xmlns:a16="http://schemas.microsoft.com/office/drawing/2014/main" id="{839D9B8F-D3E3-3D45-AE49-6F0881EAA8F6}"/>
              </a:ext>
            </a:extLst>
          </xdr:cNvPr>
          <xdr:cNvSpPr/>
        </xdr:nvSpPr>
        <xdr:spPr>
          <a:xfrm>
            <a:off x="-4571999" y="-1879821"/>
            <a:ext cx="4030844" cy="23302452"/>
          </a:xfrm>
          <a:prstGeom prst="roundRect">
            <a:avLst>
              <a:gd name="adj" fmla="val 1071"/>
            </a:avLst>
          </a:prstGeom>
          <a:solidFill>
            <a:schemeClr val="bg1">
              <a:alpha val="9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1" name="Rectangle: Rounded Corners 200">
            <a:extLst>
              <a:ext uri="{FF2B5EF4-FFF2-40B4-BE49-F238E27FC236}">
                <a16:creationId xmlns:a16="http://schemas.microsoft.com/office/drawing/2014/main" id="{5794E8B9-09D8-44B4-55DB-389D60B07359}"/>
              </a:ext>
            </a:extLst>
          </xdr:cNvPr>
          <xdr:cNvSpPr/>
        </xdr:nvSpPr>
        <xdr:spPr>
          <a:xfrm>
            <a:off x="224723" y="3418782"/>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2" name="Rectangle: Rounded Corners 201">
            <a:extLst>
              <a:ext uri="{FF2B5EF4-FFF2-40B4-BE49-F238E27FC236}">
                <a16:creationId xmlns:a16="http://schemas.microsoft.com/office/drawing/2014/main" id="{3618EB29-9D52-D870-026A-DAC751538AE7}"/>
              </a:ext>
            </a:extLst>
          </xdr:cNvPr>
          <xdr:cNvSpPr/>
        </xdr:nvSpPr>
        <xdr:spPr>
          <a:xfrm>
            <a:off x="-4474028" y="0"/>
            <a:ext cx="3746089" cy="1650123"/>
          </a:xfrm>
          <a:prstGeom prst="roundRect">
            <a:avLst>
              <a:gd name="adj" fmla="val 32808"/>
            </a:avLst>
          </a:prstGeom>
          <a:solidFill>
            <a:srgbClr val="1B89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pic>
        <xdr:nvPicPr>
          <xdr:cNvPr id="203" name="Picture 202">
            <a:extLst>
              <a:ext uri="{FF2B5EF4-FFF2-40B4-BE49-F238E27FC236}">
                <a16:creationId xmlns:a16="http://schemas.microsoft.com/office/drawing/2014/main" id="{37DA5DF1-B1C6-03C3-8857-E5A66D867096}"/>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4220935" y="658778"/>
            <a:ext cx="577972" cy="577972"/>
          </a:xfrm>
          <a:prstGeom prst="rect">
            <a:avLst/>
          </a:prstGeom>
          <a:noFill/>
          <a:ln w="9525" cmpd="sng">
            <a:noFill/>
          </a:ln>
        </xdr:spPr>
      </xdr:pic>
      <xdr:sp macro="" textlink="">
        <xdr:nvSpPr>
          <xdr:cNvPr id="204" name="TextBox 33">
            <a:extLst>
              <a:ext uri="{FF2B5EF4-FFF2-40B4-BE49-F238E27FC236}">
                <a16:creationId xmlns:a16="http://schemas.microsoft.com/office/drawing/2014/main" id="{798FE7CE-3417-9F03-C55D-950DB974EA12}"/>
              </a:ext>
            </a:extLst>
          </xdr:cNvPr>
          <xdr:cNvSpPr txBox="1"/>
        </xdr:nvSpPr>
        <xdr:spPr>
          <a:xfrm>
            <a:off x="-3690255" y="424545"/>
            <a:ext cx="2286000" cy="103274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80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Dashboard</a:t>
            </a:r>
            <a:endParaRPr lang="en-NG" sz="280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205" name="Picture 204">
            <a:extLst>
              <a:ext uri="{FF2B5EF4-FFF2-40B4-BE49-F238E27FC236}">
                <a16:creationId xmlns:a16="http://schemas.microsoft.com/office/drawing/2014/main" id="{15A410DA-43F6-4423-CB7B-C0116C488B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57040" y="4481016"/>
            <a:ext cx="634921" cy="634921"/>
          </a:xfrm>
          <a:prstGeom prst="rect">
            <a:avLst/>
          </a:prstGeom>
          <a:noFill/>
          <a:ln w="9525" cmpd="sng">
            <a:noFill/>
          </a:ln>
        </xdr:spPr>
      </xdr:pic>
      <xdr:pic>
        <xdr:nvPicPr>
          <xdr:cNvPr id="206" name="Picture 205">
            <a:extLst>
              <a:ext uri="{FF2B5EF4-FFF2-40B4-BE49-F238E27FC236}">
                <a16:creationId xmlns:a16="http://schemas.microsoft.com/office/drawing/2014/main" id="{718448CA-68EF-51E9-363F-8915C6FBAD4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96155" y="2809258"/>
            <a:ext cx="609524" cy="609524"/>
          </a:xfrm>
          <a:prstGeom prst="rect">
            <a:avLst/>
          </a:prstGeom>
          <a:noFill/>
          <a:ln w="9525" cmpd="sng">
            <a:noFill/>
          </a:ln>
        </xdr:spPr>
      </xdr:pic>
      <xdr:sp macro="" textlink="">
        <xdr:nvSpPr>
          <xdr:cNvPr id="207" name="TextBox 38">
            <a:extLst>
              <a:ext uri="{FF2B5EF4-FFF2-40B4-BE49-F238E27FC236}">
                <a16:creationId xmlns:a16="http://schemas.microsoft.com/office/drawing/2014/main" id="{81DAD112-67C4-9AFF-CA89-C85E0EECF0E8}"/>
              </a:ext>
            </a:extLst>
          </xdr:cNvPr>
          <xdr:cNvSpPr txBox="1"/>
        </xdr:nvSpPr>
        <xdr:spPr>
          <a:xfrm>
            <a:off x="-3539676" y="2505958"/>
            <a:ext cx="1926774" cy="115466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3200">
                <a:solidFill>
                  <a:srgbClr val="288E9A"/>
                </a:solidFill>
                <a:latin typeface="Calibri" panose="020F0502020204030204" pitchFamily="34" charset="0"/>
                <a:ea typeface="Calibri" panose="020F0502020204030204" pitchFamily="34" charset="0"/>
                <a:cs typeface="Calibri" panose="020F0502020204030204" pitchFamily="34" charset="0"/>
              </a:rPr>
              <a:t>Analysis</a:t>
            </a:r>
            <a:endParaRPr lang="en-NG" sz="3200">
              <a:solidFill>
                <a:srgbClr val="288E9A"/>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8" name="TextBox 39">
            <a:extLst>
              <a:ext uri="{FF2B5EF4-FFF2-40B4-BE49-F238E27FC236}">
                <a16:creationId xmlns:a16="http://schemas.microsoft.com/office/drawing/2014/main" id="{5F6952F8-04A8-571D-3189-9586F08D8E89}"/>
              </a:ext>
            </a:extLst>
          </xdr:cNvPr>
          <xdr:cNvSpPr txBox="1"/>
        </xdr:nvSpPr>
        <xdr:spPr>
          <a:xfrm>
            <a:off x="-3564573" y="4269906"/>
            <a:ext cx="1926774" cy="115466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3200">
                <a:solidFill>
                  <a:srgbClr val="288E9A"/>
                </a:solidFill>
                <a:latin typeface="Calibri" panose="020F0502020204030204" pitchFamily="34" charset="0"/>
                <a:ea typeface="Calibri" panose="020F0502020204030204" pitchFamily="34" charset="0"/>
                <a:cs typeface="Calibri" panose="020F0502020204030204" pitchFamily="34" charset="0"/>
              </a:rPr>
              <a:t>Dataset</a:t>
            </a:r>
            <a:endParaRPr lang="en-NG" sz="3200">
              <a:solidFill>
                <a:srgbClr val="288E9A"/>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34</xdr:col>
      <xdr:colOff>476250</xdr:colOff>
      <xdr:row>40</xdr:row>
      <xdr:rowOff>47624</xdr:rowOff>
    </xdr:from>
    <xdr:to>
      <xdr:col>38</xdr:col>
      <xdr:colOff>404812</xdr:colOff>
      <xdr:row>43</xdr:row>
      <xdr:rowOff>-1</xdr:rowOff>
    </xdr:to>
    <xdr:sp macro="" textlink="Totalrevenue">
      <xdr:nvSpPr>
        <xdr:cNvPr id="215" name="TextBox 214">
          <a:extLst>
            <a:ext uri="{FF2B5EF4-FFF2-40B4-BE49-F238E27FC236}">
              <a16:creationId xmlns:a16="http://schemas.microsoft.com/office/drawing/2014/main" id="{E56970E2-2BC1-9BC7-0D6F-A0D8A93FCBE7}"/>
            </a:ext>
          </a:extLst>
        </xdr:cNvPr>
        <xdr:cNvSpPr txBox="1"/>
      </xdr:nvSpPr>
      <xdr:spPr>
        <a:xfrm>
          <a:off x="21526500" y="7667624"/>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22022F-F568-4F96-991D-ADA933715F65}" type="TxLink">
            <a:rPr lang="en-US" sz="2800" b="0" i="0" u="none" strike="noStrike">
              <a:solidFill>
                <a:srgbClr val="000000"/>
              </a:solidFill>
              <a:latin typeface="Aptos Narrow"/>
            </a:rPr>
            <a:pPr/>
            <a:t>$59,421,720</a:t>
          </a:fld>
          <a:endParaRPr lang="en-NG" sz="2800"/>
        </a:p>
      </xdr:txBody>
    </xdr:sp>
    <xdr:clientData/>
  </xdr:twoCellAnchor>
  <xdr:twoCellAnchor>
    <xdr:from>
      <xdr:col>34</xdr:col>
      <xdr:colOff>571498</xdr:colOff>
      <xdr:row>37</xdr:row>
      <xdr:rowOff>95251</xdr:rowOff>
    </xdr:from>
    <xdr:to>
      <xdr:col>38</xdr:col>
      <xdr:colOff>261935</xdr:colOff>
      <xdr:row>39</xdr:row>
      <xdr:rowOff>142875</xdr:rowOff>
    </xdr:to>
    <xdr:sp macro="" textlink="">
      <xdr:nvSpPr>
        <xdr:cNvPr id="216" name="TextBox 215">
          <a:extLst>
            <a:ext uri="{FF2B5EF4-FFF2-40B4-BE49-F238E27FC236}">
              <a16:creationId xmlns:a16="http://schemas.microsoft.com/office/drawing/2014/main" id="{15C2BBC6-DD75-6B56-F069-82FC02015D53}"/>
            </a:ext>
          </a:extLst>
        </xdr:cNvPr>
        <xdr:cNvSpPr txBox="1"/>
      </xdr:nvSpPr>
      <xdr:spPr>
        <a:xfrm>
          <a:off x="21621748" y="7143751"/>
          <a:ext cx="2166937"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Total Revenue</a:t>
          </a:r>
          <a:endParaRPr lang="en-NG" sz="2400" b="1">
            <a:solidFill>
              <a:schemeClr val="tx1">
                <a:lumMod val="95000"/>
                <a:lumOff val="5000"/>
              </a:schemeClr>
            </a:solidFill>
          </a:endParaRPr>
        </a:p>
      </xdr:txBody>
    </xdr:sp>
    <xdr:clientData/>
  </xdr:twoCellAnchor>
  <xdr:twoCellAnchor>
    <xdr:from>
      <xdr:col>40</xdr:col>
      <xdr:colOff>57149</xdr:colOff>
      <xdr:row>40</xdr:row>
      <xdr:rowOff>57149</xdr:rowOff>
    </xdr:from>
    <xdr:to>
      <xdr:col>43</xdr:col>
      <xdr:colOff>604836</xdr:colOff>
      <xdr:row>43</xdr:row>
      <xdr:rowOff>9524</xdr:rowOff>
    </xdr:to>
    <xdr:sp macro="" textlink="profit">
      <xdr:nvSpPr>
        <xdr:cNvPr id="217" name="TextBox 216">
          <a:extLst>
            <a:ext uri="{FF2B5EF4-FFF2-40B4-BE49-F238E27FC236}">
              <a16:creationId xmlns:a16="http://schemas.microsoft.com/office/drawing/2014/main" id="{BCF6821F-FDC2-4F5C-AAAC-A520E72553EF}"/>
            </a:ext>
          </a:extLst>
        </xdr:cNvPr>
        <xdr:cNvSpPr txBox="1"/>
      </xdr:nvSpPr>
      <xdr:spPr>
        <a:xfrm>
          <a:off x="24822149" y="7677149"/>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144677-E69B-4A58-B933-1BC952978C80}" type="TxLink">
            <a:rPr lang="en-US" sz="2800" b="0" i="0" u="none" strike="noStrike">
              <a:solidFill>
                <a:srgbClr val="000000"/>
              </a:solidFill>
              <a:latin typeface="Aptos Narrow"/>
            </a:rPr>
            <a:pPr/>
            <a:t>$38,254,272</a:t>
          </a:fld>
          <a:endParaRPr lang="en-NG" sz="6000"/>
        </a:p>
      </xdr:txBody>
    </xdr:sp>
    <xdr:clientData/>
  </xdr:twoCellAnchor>
  <xdr:twoCellAnchor>
    <xdr:from>
      <xdr:col>40</xdr:col>
      <xdr:colOff>295270</xdr:colOff>
      <xdr:row>37</xdr:row>
      <xdr:rowOff>57151</xdr:rowOff>
    </xdr:from>
    <xdr:to>
      <xdr:col>43</xdr:col>
      <xdr:colOff>366707</xdr:colOff>
      <xdr:row>39</xdr:row>
      <xdr:rowOff>80964</xdr:rowOff>
    </xdr:to>
    <xdr:sp macro="" textlink="">
      <xdr:nvSpPr>
        <xdr:cNvPr id="218" name="TextBox 217">
          <a:extLst>
            <a:ext uri="{FF2B5EF4-FFF2-40B4-BE49-F238E27FC236}">
              <a16:creationId xmlns:a16="http://schemas.microsoft.com/office/drawing/2014/main" id="{86C1D645-6F5D-456B-8EED-EB80064D4EBC}"/>
            </a:ext>
          </a:extLst>
        </xdr:cNvPr>
        <xdr:cNvSpPr txBox="1"/>
      </xdr:nvSpPr>
      <xdr:spPr>
        <a:xfrm>
          <a:off x="25060270" y="7105651"/>
          <a:ext cx="1928812"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Profit Made</a:t>
          </a:r>
          <a:endParaRPr lang="en-NG" sz="2400" b="1">
            <a:solidFill>
              <a:schemeClr val="tx1">
                <a:lumMod val="95000"/>
                <a:lumOff val="5000"/>
              </a:schemeClr>
            </a:solidFill>
          </a:endParaRPr>
        </a:p>
      </xdr:txBody>
    </xdr:sp>
    <xdr:clientData/>
  </xdr:twoCellAnchor>
  <xdr:twoCellAnchor>
    <xdr:from>
      <xdr:col>45</xdr:col>
      <xdr:colOff>200037</xdr:colOff>
      <xdr:row>36</xdr:row>
      <xdr:rowOff>104776</xdr:rowOff>
    </xdr:from>
    <xdr:to>
      <xdr:col>60</xdr:col>
      <xdr:colOff>71440</xdr:colOff>
      <xdr:row>41</xdr:row>
      <xdr:rowOff>119063</xdr:rowOff>
    </xdr:to>
    <xdr:sp macro="" textlink="">
      <xdr:nvSpPr>
        <xdr:cNvPr id="2" name="TextBox 1">
          <a:extLst>
            <a:ext uri="{FF2B5EF4-FFF2-40B4-BE49-F238E27FC236}">
              <a16:creationId xmlns:a16="http://schemas.microsoft.com/office/drawing/2014/main" id="{DFE811DC-94A0-4EBA-B871-32EFF3CF1D35}"/>
            </a:ext>
          </a:extLst>
        </xdr:cNvPr>
        <xdr:cNvSpPr txBox="1"/>
      </xdr:nvSpPr>
      <xdr:spPr>
        <a:xfrm>
          <a:off x="28060662" y="6962776"/>
          <a:ext cx="9158278" cy="966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Branch</a:t>
          </a:r>
          <a:r>
            <a:rPr lang="en-GB" sz="2400" b="1" baseline="0">
              <a:solidFill>
                <a:schemeClr val="tx1">
                  <a:lumMod val="95000"/>
                  <a:lumOff val="5000"/>
                </a:schemeClr>
              </a:solidFill>
            </a:rPr>
            <a:t> With Most Revenue</a:t>
          </a:r>
          <a:r>
            <a:rPr lang="en-GB" sz="2400" b="0" baseline="0">
              <a:solidFill>
                <a:schemeClr val="tx1">
                  <a:lumMod val="95000"/>
                  <a:lumOff val="5000"/>
                </a:schemeClr>
              </a:solidFill>
            </a:rPr>
            <a:t>: The north Daniel branch recorded the highest overall revenue.</a:t>
          </a:r>
          <a:endParaRPr lang="en-NG" sz="2400" b="0">
            <a:solidFill>
              <a:schemeClr val="tx1">
                <a:lumMod val="95000"/>
                <a:lumOff val="5000"/>
              </a:schemeClr>
            </a:solidFill>
          </a:endParaRPr>
        </a:p>
      </xdr:txBody>
    </xdr:sp>
    <xdr:clientData/>
  </xdr:twoCellAnchor>
  <xdr:twoCellAnchor>
    <xdr:from>
      <xdr:col>34</xdr:col>
      <xdr:colOff>295275</xdr:colOff>
      <xdr:row>48</xdr:row>
      <xdr:rowOff>152400</xdr:rowOff>
    </xdr:from>
    <xdr:to>
      <xdr:col>38</xdr:col>
      <xdr:colOff>223837</xdr:colOff>
      <xdr:row>51</xdr:row>
      <xdr:rowOff>104775</xdr:rowOff>
    </xdr:to>
    <xdr:sp macro="" textlink="OPeracost">
      <xdr:nvSpPr>
        <xdr:cNvPr id="4" name="TextBox 3">
          <a:extLst>
            <a:ext uri="{FF2B5EF4-FFF2-40B4-BE49-F238E27FC236}">
              <a16:creationId xmlns:a16="http://schemas.microsoft.com/office/drawing/2014/main" id="{5D51DB88-D6FF-4E72-89E2-370A2C7C7DEC}"/>
            </a:ext>
          </a:extLst>
        </xdr:cNvPr>
        <xdr:cNvSpPr txBox="1"/>
      </xdr:nvSpPr>
      <xdr:spPr>
        <a:xfrm>
          <a:off x="21345525" y="9296400"/>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3A1029-5022-43CA-8946-51CE9570CB24}" type="TxLink">
            <a:rPr lang="en-US" sz="2800" b="0" i="0" u="none" strike="noStrike">
              <a:solidFill>
                <a:srgbClr val="000000"/>
              </a:solidFill>
              <a:latin typeface="Aptos Narrow"/>
            </a:rPr>
            <a:pPr/>
            <a:t>$21,167,448</a:t>
          </a:fld>
          <a:endParaRPr lang="en-NG" sz="6000"/>
        </a:p>
      </xdr:txBody>
    </xdr:sp>
    <xdr:clientData/>
  </xdr:twoCellAnchor>
  <xdr:twoCellAnchor>
    <xdr:from>
      <xdr:col>34</xdr:col>
      <xdr:colOff>581019</xdr:colOff>
      <xdr:row>46</xdr:row>
      <xdr:rowOff>9525</xdr:rowOff>
    </xdr:from>
    <xdr:to>
      <xdr:col>38</xdr:col>
      <xdr:colOff>404807</xdr:colOff>
      <xdr:row>48</xdr:row>
      <xdr:rowOff>119062</xdr:rowOff>
    </xdr:to>
    <xdr:sp macro="" textlink="">
      <xdr:nvSpPr>
        <xdr:cNvPr id="5" name="TextBox 4">
          <a:extLst>
            <a:ext uri="{FF2B5EF4-FFF2-40B4-BE49-F238E27FC236}">
              <a16:creationId xmlns:a16="http://schemas.microsoft.com/office/drawing/2014/main" id="{025ADC66-C8A2-4158-A5C4-9D82EB0A1FA3}"/>
            </a:ext>
          </a:extLst>
        </xdr:cNvPr>
        <xdr:cNvSpPr txBox="1"/>
      </xdr:nvSpPr>
      <xdr:spPr>
        <a:xfrm>
          <a:off x="21631269" y="8772525"/>
          <a:ext cx="2300288"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Operating</a:t>
          </a:r>
          <a:r>
            <a:rPr lang="en-GB" sz="2400" b="1" baseline="0">
              <a:solidFill>
                <a:schemeClr val="tx1">
                  <a:lumMod val="95000"/>
                  <a:lumOff val="5000"/>
                </a:schemeClr>
              </a:solidFill>
            </a:rPr>
            <a:t> Cost</a:t>
          </a:r>
          <a:endParaRPr lang="en-NG" sz="2400" b="1">
            <a:solidFill>
              <a:schemeClr val="tx1">
                <a:lumMod val="95000"/>
                <a:lumOff val="5000"/>
              </a:schemeClr>
            </a:solidFill>
          </a:endParaRPr>
        </a:p>
      </xdr:txBody>
    </xdr:sp>
    <xdr:clientData/>
  </xdr:twoCellAnchor>
  <xdr:twoCellAnchor>
    <xdr:from>
      <xdr:col>40</xdr:col>
      <xdr:colOff>447672</xdr:colOff>
      <xdr:row>48</xdr:row>
      <xdr:rowOff>138113</xdr:rowOff>
    </xdr:from>
    <xdr:to>
      <xdr:col>44</xdr:col>
      <xdr:colOff>376234</xdr:colOff>
      <xdr:row>51</xdr:row>
      <xdr:rowOff>90488</xdr:rowOff>
    </xdr:to>
    <xdr:sp macro="" textlink="count">
      <xdr:nvSpPr>
        <xdr:cNvPr id="6" name="TextBox 5">
          <a:extLst>
            <a:ext uri="{FF2B5EF4-FFF2-40B4-BE49-F238E27FC236}">
              <a16:creationId xmlns:a16="http://schemas.microsoft.com/office/drawing/2014/main" id="{B69B1A74-D175-4CBB-9316-9A7C28865C07}"/>
            </a:ext>
          </a:extLst>
        </xdr:cNvPr>
        <xdr:cNvSpPr txBox="1"/>
      </xdr:nvSpPr>
      <xdr:spPr>
        <a:xfrm>
          <a:off x="25212672" y="9282113"/>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EDD6C3-63A9-4499-AEBD-A5457FEF0B3F}" type="TxLink">
            <a:rPr lang="en-US" sz="2800" b="0" i="0" u="none" strike="noStrike">
              <a:solidFill>
                <a:srgbClr val="000000"/>
              </a:solidFill>
              <a:latin typeface="Aptos Narrow"/>
            </a:rPr>
            <a:pPr/>
            <a:t> 1,951 </a:t>
          </a:fld>
          <a:endParaRPr lang="en-NG" sz="13800"/>
        </a:p>
      </xdr:txBody>
    </xdr:sp>
    <xdr:clientData/>
  </xdr:twoCellAnchor>
  <xdr:twoCellAnchor>
    <xdr:from>
      <xdr:col>40</xdr:col>
      <xdr:colOff>376235</xdr:colOff>
      <xdr:row>45</xdr:row>
      <xdr:rowOff>185736</xdr:rowOff>
    </xdr:from>
    <xdr:to>
      <xdr:col>44</xdr:col>
      <xdr:colOff>200023</xdr:colOff>
      <xdr:row>48</xdr:row>
      <xdr:rowOff>104773</xdr:rowOff>
    </xdr:to>
    <xdr:sp macro="" textlink="">
      <xdr:nvSpPr>
        <xdr:cNvPr id="7" name="TextBox 6">
          <a:extLst>
            <a:ext uri="{FF2B5EF4-FFF2-40B4-BE49-F238E27FC236}">
              <a16:creationId xmlns:a16="http://schemas.microsoft.com/office/drawing/2014/main" id="{469FC149-B2B2-437B-9A4F-6D091074FD68}"/>
            </a:ext>
          </a:extLst>
        </xdr:cNvPr>
        <xdr:cNvSpPr txBox="1"/>
      </xdr:nvSpPr>
      <xdr:spPr>
        <a:xfrm>
          <a:off x="25141235" y="8758236"/>
          <a:ext cx="2300288"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baseline="0">
              <a:solidFill>
                <a:schemeClr val="tx1">
                  <a:lumMod val="95000"/>
                  <a:lumOff val="5000"/>
                </a:schemeClr>
              </a:solidFill>
            </a:rPr>
            <a:t>Total Staff</a:t>
          </a:r>
          <a:endParaRPr lang="en-NG" sz="2400" b="1">
            <a:solidFill>
              <a:schemeClr val="tx1">
                <a:lumMod val="95000"/>
                <a:lumOff val="5000"/>
              </a:schemeClr>
            </a:solidFill>
          </a:endParaRPr>
        </a:p>
      </xdr:txBody>
    </xdr:sp>
    <xdr:clientData/>
  </xdr:twoCellAnchor>
  <xdr:twoCellAnchor>
    <xdr:from>
      <xdr:col>45</xdr:col>
      <xdr:colOff>142875</xdr:colOff>
      <xdr:row>39</xdr:row>
      <xdr:rowOff>166687</xdr:rowOff>
    </xdr:from>
    <xdr:to>
      <xdr:col>60</xdr:col>
      <xdr:colOff>1</xdr:colOff>
      <xdr:row>53</xdr:row>
      <xdr:rowOff>166688</xdr:rowOff>
    </xdr:to>
    <xdr:graphicFrame macro="">
      <xdr:nvGraphicFramePr>
        <xdr:cNvPr id="9" name="Chart 8">
          <a:extLst>
            <a:ext uri="{FF2B5EF4-FFF2-40B4-BE49-F238E27FC236}">
              <a16:creationId xmlns:a16="http://schemas.microsoft.com/office/drawing/2014/main" id="{9448BFB7-63EE-4640-A2CF-9FF49F23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447683</xdr:colOff>
      <xdr:row>54</xdr:row>
      <xdr:rowOff>42864</xdr:rowOff>
    </xdr:from>
    <xdr:to>
      <xdr:col>59</xdr:col>
      <xdr:colOff>428624</xdr:colOff>
      <xdr:row>57</xdr:row>
      <xdr:rowOff>23812</xdr:rowOff>
    </xdr:to>
    <xdr:sp macro="" textlink="">
      <xdr:nvSpPr>
        <xdr:cNvPr id="10" name="TextBox 9">
          <a:extLst>
            <a:ext uri="{FF2B5EF4-FFF2-40B4-BE49-F238E27FC236}">
              <a16:creationId xmlns:a16="http://schemas.microsoft.com/office/drawing/2014/main" id="{C5D2BF0F-59C4-478A-8883-868D9C2CBF17}"/>
            </a:ext>
          </a:extLst>
        </xdr:cNvPr>
        <xdr:cNvSpPr txBox="1"/>
      </xdr:nvSpPr>
      <xdr:spPr>
        <a:xfrm>
          <a:off x="28308308" y="10329864"/>
          <a:ext cx="8648691" cy="552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Most</a:t>
          </a:r>
          <a:r>
            <a:rPr lang="en-GB" sz="2400" b="1" baseline="0">
              <a:solidFill>
                <a:schemeClr val="tx1">
                  <a:lumMod val="95000"/>
                  <a:lumOff val="5000"/>
                </a:schemeClr>
              </a:solidFill>
            </a:rPr>
            <a:t> Profitable Branch: </a:t>
          </a:r>
          <a:r>
            <a:rPr lang="en-GB" sz="2400" b="0" baseline="0">
              <a:solidFill>
                <a:schemeClr val="tx1">
                  <a:lumMod val="95000"/>
                  <a:lumOff val="5000"/>
                </a:schemeClr>
              </a:solidFill>
            </a:rPr>
            <a:t>Overall most profitable is Lashville branch.</a:t>
          </a:r>
          <a:endParaRPr lang="en-NG" sz="2400" b="0">
            <a:solidFill>
              <a:schemeClr val="tx1">
                <a:lumMod val="95000"/>
                <a:lumOff val="5000"/>
              </a:schemeClr>
            </a:solidFill>
          </a:endParaRPr>
        </a:p>
      </xdr:txBody>
    </xdr:sp>
    <xdr:clientData/>
  </xdr:twoCellAnchor>
  <xdr:twoCellAnchor>
    <xdr:from>
      <xdr:col>44</xdr:col>
      <xdr:colOff>547687</xdr:colOff>
      <xdr:row>56</xdr:row>
      <xdr:rowOff>166686</xdr:rowOff>
    </xdr:from>
    <xdr:to>
      <xdr:col>59</xdr:col>
      <xdr:colOff>547687</xdr:colOff>
      <xdr:row>73</xdr:row>
      <xdr:rowOff>119061</xdr:rowOff>
    </xdr:to>
    <xdr:graphicFrame macro="">
      <xdr:nvGraphicFramePr>
        <xdr:cNvPr id="13" name="Chart 12">
          <a:extLst>
            <a:ext uri="{FF2B5EF4-FFF2-40B4-BE49-F238E27FC236}">
              <a16:creationId xmlns:a16="http://schemas.microsoft.com/office/drawing/2014/main" id="{21E556CC-B3DE-4326-8AA2-677870D4C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23812</xdr:colOff>
      <xdr:row>58</xdr:row>
      <xdr:rowOff>119062</xdr:rowOff>
    </xdr:from>
    <xdr:to>
      <xdr:col>43</xdr:col>
      <xdr:colOff>428625</xdr:colOff>
      <xdr:row>91</xdr:row>
      <xdr:rowOff>0</xdr:rowOff>
    </xdr:to>
    <xdr:graphicFrame macro="">
      <xdr:nvGraphicFramePr>
        <xdr:cNvPr id="14" name="Chart 13">
          <a:extLst>
            <a:ext uri="{FF2B5EF4-FFF2-40B4-BE49-F238E27FC236}">
              <a16:creationId xmlns:a16="http://schemas.microsoft.com/office/drawing/2014/main" id="{66304AE3-C947-41B0-8380-09F73FDC6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361961</xdr:colOff>
      <xdr:row>54</xdr:row>
      <xdr:rowOff>147641</xdr:rowOff>
    </xdr:from>
    <xdr:to>
      <xdr:col>39</xdr:col>
      <xdr:colOff>533402</xdr:colOff>
      <xdr:row>57</xdr:row>
      <xdr:rowOff>33340</xdr:rowOff>
    </xdr:to>
    <xdr:sp macro="" textlink="">
      <xdr:nvSpPr>
        <xdr:cNvPr id="15" name="TextBox 14">
          <a:extLst>
            <a:ext uri="{FF2B5EF4-FFF2-40B4-BE49-F238E27FC236}">
              <a16:creationId xmlns:a16="http://schemas.microsoft.com/office/drawing/2014/main" id="{FB280C5D-6116-41DC-875C-6474854BD021}"/>
            </a:ext>
          </a:extLst>
        </xdr:cNvPr>
        <xdr:cNvSpPr txBox="1"/>
      </xdr:nvSpPr>
      <xdr:spPr>
        <a:xfrm>
          <a:off x="21412211" y="10434641"/>
          <a:ext cx="3267066"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Branch</a:t>
          </a:r>
          <a:r>
            <a:rPr lang="en-GB" sz="2400" b="1" baseline="0">
              <a:solidFill>
                <a:schemeClr val="tx1">
                  <a:lumMod val="95000"/>
                  <a:lumOff val="5000"/>
                </a:schemeClr>
              </a:solidFill>
            </a:rPr>
            <a:t> VS Efficiency</a:t>
          </a:r>
          <a:endParaRPr lang="en-NG" sz="2400" b="1">
            <a:solidFill>
              <a:schemeClr val="tx1">
                <a:lumMod val="95000"/>
                <a:lumOff val="5000"/>
              </a:schemeClr>
            </a:solidFill>
          </a:endParaRPr>
        </a:p>
      </xdr:txBody>
    </xdr:sp>
    <xdr:clientData/>
  </xdr:twoCellAnchor>
  <xdr:twoCellAnchor editAs="oneCell">
    <xdr:from>
      <xdr:col>26</xdr:col>
      <xdr:colOff>309563</xdr:colOff>
      <xdr:row>30</xdr:row>
      <xdr:rowOff>119062</xdr:rowOff>
    </xdr:from>
    <xdr:to>
      <xdr:col>27</xdr:col>
      <xdr:colOff>404812</xdr:colOff>
      <xdr:row>35</xdr:row>
      <xdr:rowOff>85649</xdr:rowOff>
    </xdr:to>
    <xdr:pic>
      <xdr:nvPicPr>
        <xdr:cNvPr id="8" name="Picture 7">
          <a:extLst>
            <a:ext uri="{FF2B5EF4-FFF2-40B4-BE49-F238E27FC236}">
              <a16:creationId xmlns:a16="http://schemas.microsoft.com/office/drawing/2014/main" id="{76C77ED4-2A0F-13EC-6BD3-4CC1DDAB055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406813" y="5834062"/>
          <a:ext cx="714374" cy="919087"/>
        </a:xfrm>
        <a:prstGeom prst="rect">
          <a:avLst/>
        </a:prstGeom>
      </xdr:spPr>
    </xdr:pic>
    <xdr:clientData/>
  </xdr:twoCellAnchor>
  <xdr:twoCellAnchor>
    <xdr:from>
      <xdr:col>27</xdr:col>
      <xdr:colOff>509587</xdr:colOff>
      <xdr:row>32</xdr:row>
      <xdr:rowOff>80962</xdr:rowOff>
    </xdr:from>
    <xdr:to>
      <xdr:col>31</xdr:col>
      <xdr:colOff>571500</xdr:colOff>
      <xdr:row>35</xdr:row>
      <xdr:rowOff>-1</xdr:rowOff>
    </xdr:to>
    <xdr:sp macro="" textlink="">
      <xdr:nvSpPr>
        <xdr:cNvPr id="11" name="TextBox 10">
          <a:extLst>
            <a:ext uri="{FF2B5EF4-FFF2-40B4-BE49-F238E27FC236}">
              <a16:creationId xmlns:a16="http://schemas.microsoft.com/office/drawing/2014/main" id="{FA0B1FA2-77D6-4784-A965-2BEDC5D21878}"/>
            </a:ext>
          </a:extLst>
        </xdr:cNvPr>
        <xdr:cNvSpPr txBox="1"/>
      </xdr:nvSpPr>
      <xdr:spPr>
        <a:xfrm>
          <a:off x="17225962" y="6176962"/>
          <a:ext cx="2538413"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0">
              <a:solidFill>
                <a:schemeClr val="tx1">
                  <a:lumMod val="95000"/>
                  <a:lumOff val="5000"/>
                </a:schemeClr>
              </a:solidFill>
              <a:latin typeface="Arial Black" panose="020B0A04020102020204" pitchFamily="34" charset="0"/>
            </a:rPr>
            <a:t>METROBANK</a:t>
          </a:r>
          <a:endParaRPr lang="en-NG" sz="2400" b="0">
            <a:solidFill>
              <a:schemeClr val="tx1">
                <a:lumMod val="95000"/>
                <a:lumOff val="5000"/>
              </a:schemeClr>
            </a:solidFill>
            <a:latin typeface="Arial Black" panose="020B0A04020102020204" pitchFamily="34" charset="0"/>
          </a:endParaRPr>
        </a:p>
      </xdr:txBody>
    </xdr:sp>
    <xdr:clientData/>
  </xdr:twoCellAnchor>
  <xdr:twoCellAnchor editAs="oneCell">
    <xdr:from>
      <xdr:col>28</xdr:col>
      <xdr:colOff>404811</xdr:colOff>
      <xdr:row>81</xdr:row>
      <xdr:rowOff>95255</xdr:rowOff>
    </xdr:from>
    <xdr:to>
      <xdr:col>29</xdr:col>
      <xdr:colOff>420607</xdr:colOff>
      <xdr:row>84</xdr:row>
      <xdr:rowOff>158676</xdr:rowOff>
    </xdr:to>
    <xdr:pic>
      <xdr:nvPicPr>
        <xdr:cNvPr id="16" name="Picture 15">
          <a:extLst>
            <a:ext uri="{FF2B5EF4-FFF2-40B4-BE49-F238E27FC236}">
              <a16:creationId xmlns:a16="http://schemas.microsoft.com/office/drawing/2014/main" id="{62499944-73AC-E7BA-B667-B3792E459E9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740311" y="15525755"/>
          <a:ext cx="634921" cy="634921"/>
        </a:xfrm>
        <a:prstGeom prst="rect">
          <a:avLst/>
        </a:prstGeom>
      </xdr:spPr>
    </xdr:pic>
    <xdr:clientData/>
  </xdr:twoCellAnchor>
  <xdr:twoCellAnchor editAs="oneCell">
    <xdr:from>
      <xdr:col>28</xdr:col>
      <xdr:colOff>404812</xdr:colOff>
      <xdr:row>77</xdr:row>
      <xdr:rowOff>119067</xdr:rowOff>
    </xdr:from>
    <xdr:to>
      <xdr:col>29</xdr:col>
      <xdr:colOff>420608</xdr:colOff>
      <xdr:row>80</xdr:row>
      <xdr:rowOff>182488</xdr:rowOff>
    </xdr:to>
    <xdr:pic>
      <xdr:nvPicPr>
        <xdr:cNvPr id="18" name="Picture 17">
          <a:extLst>
            <a:ext uri="{FF2B5EF4-FFF2-40B4-BE49-F238E27FC236}">
              <a16:creationId xmlns:a16="http://schemas.microsoft.com/office/drawing/2014/main" id="{123E821C-7A55-C8B7-E1BF-7143770E4FD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740312" y="14787567"/>
          <a:ext cx="634921" cy="634921"/>
        </a:xfrm>
        <a:prstGeom prst="rect">
          <a:avLst/>
        </a:prstGeom>
      </xdr:spPr>
    </xdr:pic>
    <xdr:clientData/>
  </xdr:twoCellAnchor>
  <xdr:twoCellAnchor>
    <xdr:from>
      <xdr:col>45</xdr:col>
      <xdr:colOff>404817</xdr:colOff>
      <xdr:row>77</xdr:row>
      <xdr:rowOff>95246</xdr:rowOff>
    </xdr:from>
    <xdr:to>
      <xdr:col>57</xdr:col>
      <xdr:colOff>119062</xdr:colOff>
      <xdr:row>92</xdr:row>
      <xdr:rowOff>103574</xdr:rowOff>
    </xdr:to>
    <xdr:graphicFrame macro="">
      <xdr:nvGraphicFramePr>
        <xdr:cNvPr id="19" name="Chart 18">
          <a:extLst>
            <a:ext uri="{FF2B5EF4-FFF2-40B4-BE49-F238E27FC236}">
              <a16:creationId xmlns:a16="http://schemas.microsoft.com/office/drawing/2014/main" id="{B6754557-4B92-4C86-8F73-4C6F2F2C0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45</xdr:col>
      <xdr:colOff>266708</xdr:colOff>
      <xdr:row>73</xdr:row>
      <xdr:rowOff>147639</xdr:rowOff>
    </xdr:from>
    <xdr:to>
      <xdr:col>60</xdr:col>
      <xdr:colOff>0</xdr:colOff>
      <xdr:row>78</xdr:row>
      <xdr:rowOff>142875</xdr:rowOff>
    </xdr:to>
    <xdr:sp macro="" textlink="">
      <xdr:nvSpPr>
        <xdr:cNvPr id="20" name="TextBox 19">
          <a:extLst>
            <a:ext uri="{FF2B5EF4-FFF2-40B4-BE49-F238E27FC236}">
              <a16:creationId xmlns:a16="http://schemas.microsoft.com/office/drawing/2014/main" id="{47899DAD-0DC5-481B-8374-B12849477DF6}"/>
            </a:ext>
          </a:extLst>
        </xdr:cNvPr>
        <xdr:cNvSpPr txBox="1"/>
      </xdr:nvSpPr>
      <xdr:spPr>
        <a:xfrm>
          <a:off x="28127333" y="14054139"/>
          <a:ext cx="9020167" cy="94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Region</a:t>
          </a:r>
          <a:r>
            <a:rPr lang="en-GB" sz="2400" b="1" baseline="0">
              <a:solidFill>
                <a:schemeClr val="tx1">
                  <a:lumMod val="95000"/>
                  <a:lumOff val="5000"/>
                </a:schemeClr>
              </a:solidFill>
            </a:rPr>
            <a:t> With Most Profit: </a:t>
          </a:r>
          <a:r>
            <a:rPr lang="en-GB" sz="2400" b="0" baseline="0">
              <a:solidFill>
                <a:schemeClr val="tx1">
                  <a:lumMod val="95000"/>
                  <a:lumOff val="5000"/>
                </a:schemeClr>
              </a:solidFill>
            </a:rPr>
            <a:t>The South region is the most Profitable, contributing 39%of the total profit.</a:t>
          </a:r>
          <a:endParaRPr lang="en-NG" sz="2400" b="0">
            <a:solidFill>
              <a:schemeClr val="tx1">
                <a:lumMod val="95000"/>
                <a:lumOff val="5000"/>
              </a:schemeClr>
            </a:solidFill>
          </a:endParaRPr>
        </a:p>
      </xdr:txBody>
    </xdr:sp>
    <xdr:clientData/>
  </xdr:twoCellAnchor>
  <xdr:twoCellAnchor>
    <xdr:from>
      <xdr:col>49</xdr:col>
      <xdr:colOff>452433</xdr:colOff>
      <xdr:row>82</xdr:row>
      <xdr:rowOff>47627</xdr:rowOff>
    </xdr:from>
    <xdr:to>
      <xdr:col>51</xdr:col>
      <xdr:colOff>595312</xdr:colOff>
      <xdr:row>85</xdr:row>
      <xdr:rowOff>47624</xdr:rowOff>
    </xdr:to>
    <xdr:sp macro="" textlink="">
      <xdr:nvSpPr>
        <xdr:cNvPr id="21" name="TextBox 20">
          <a:extLst>
            <a:ext uri="{FF2B5EF4-FFF2-40B4-BE49-F238E27FC236}">
              <a16:creationId xmlns:a16="http://schemas.microsoft.com/office/drawing/2014/main" id="{F341DB87-C973-AC7D-2A1C-0C668398DE91}"/>
            </a:ext>
          </a:extLst>
        </xdr:cNvPr>
        <xdr:cNvSpPr txBox="1"/>
      </xdr:nvSpPr>
      <xdr:spPr>
        <a:xfrm>
          <a:off x="30789558" y="15668627"/>
          <a:ext cx="1381129" cy="571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a:t>South</a:t>
          </a:r>
          <a:endParaRPr lang="en-NG" sz="3600"/>
        </a:p>
      </xdr:txBody>
    </xdr:sp>
    <xdr:clientData/>
  </xdr:twoCellAnchor>
  <xdr:twoCellAnchor>
    <xdr:from>
      <xdr:col>34</xdr:col>
      <xdr:colOff>19049</xdr:colOff>
      <xdr:row>31</xdr:row>
      <xdr:rowOff>66675</xdr:rowOff>
    </xdr:from>
    <xdr:to>
      <xdr:col>49</xdr:col>
      <xdr:colOff>404812</xdr:colOff>
      <xdr:row>34</xdr:row>
      <xdr:rowOff>71438</xdr:rowOff>
    </xdr:to>
    <xdr:sp macro="" textlink="">
      <xdr:nvSpPr>
        <xdr:cNvPr id="22" name="TextBox 21">
          <a:extLst>
            <a:ext uri="{FF2B5EF4-FFF2-40B4-BE49-F238E27FC236}">
              <a16:creationId xmlns:a16="http://schemas.microsoft.com/office/drawing/2014/main" id="{B9C63A19-12CD-4992-A828-7BDE5E125FC5}"/>
            </a:ext>
          </a:extLst>
        </xdr:cNvPr>
        <xdr:cNvSpPr txBox="1"/>
      </xdr:nvSpPr>
      <xdr:spPr>
        <a:xfrm>
          <a:off x="21069299" y="5972175"/>
          <a:ext cx="9672638" cy="576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BRANCH</a:t>
          </a:r>
          <a:r>
            <a:rPr lang="en-GB" sz="3200" b="1"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 PERFORMANCE &amp; EFFICIENCY</a:t>
          </a:r>
          <a:endParaRPr lang="en-NG" sz="32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28</xdr:col>
      <xdr:colOff>214310</xdr:colOff>
      <xdr:row>86</xdr:row>
      <xdr:rowOff>4</xdr:rowOff>
    </xdr:from>
    <xdr:to>
      <xdr:col>29</xdr:col>
      <xdr:colOff>609598</xdr:colOff>
      <xdr:row>91</xdr:row>
      <xdr:rowOff>47630</xdr:rowOff>
    </xdr:to>
    <xdr:pic>
      <xdr:nvPicPr>
        <xdr:cNvPr id="27" name="Picture 26">
          <a:extLst>
            <a:ext uri="{FF2B5EF4-FFF2-40B4-BE49-F238E27FC236}">
              <a16:creationId xmlns:a16="http://schemas.microsoft.com/office/drawing/2014/main" id="{909B355D-EF8F-C6FE-6A5C-C96B6396E68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549810" y="16383004"/>
          <a:ext cx="1014413" cy="1000126"/>
        </a:xfrm>
        <a:prstGeom prst="ellipse">
          <a:avLst/>
        </a:prstGeom>
        <a:ln w="6350" cap="rnd">
          <a:noFill/>
        </a:ln>
        <a:effectLst>
          <a:glow rad="76200">
            <a:schemeClr val="tx1">
              <a:lumMod val="95000"/>
              <a:lumOff val="5000"/>
              <a:alpha val="7000"/>
            </a:schemeClr>
          </a:glow>
          <a:outerShdw blurRad="419100" dist="152400" dir="5400000" sx="77000" sy="77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39</xdr:col>
      <xdr:colOff>309562</xdr:colOff>
      <xdr:row>45</xdr:row>
      <xdr:rowOff>119065</xdr:rowOff>
    </xdr:from>
    <xdr:to>
      <xdr:col>40</xdr:col>
      <xdr:colOff>325358</xdr:colOff>
      <xdr:row>48</xdr:row>
      <xdr:rowOff>182486</xdr:rowOff>
    </xdr:to>
    <xdr:pic>
      <xdr:nvPicPr>
        <xdr:cNvPr id="31" name="Picture 30">
          <a:extLst>
            <a:ext uri="{FF2B5EF4-FFF2-40B4-BE49-F238E27FC236}">
              <a16:creationId xmlns:a16="http://schemas.microsoft.com/office/drawing/2014/main" id="{6191ECB9-7EBC-3274-F202-92D1A807E34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4455437" y="8691565"/>
          <a:ext cx="634921" cy="634921"/>
        </a:xfrm>
        <a:prstGeom prst="rect">
          <a:avLst/>
        </a:prstGeom>
      </xdr:spPr>
    </xdr:pic>
    <xdr:clientData/>
  </xdr:twoCellAnchor>
  <xdr:twoCellAnchor editAs="oneCell">
    <xdr:from>
      <xdr:col>33</xdr:col>
      <xdr:colOff>571498</xdr:colOff>
      <xdr:row>36</xdr:row>
      <xdr:rowOff>158622</xdr:rowOff>
    </xdr:from>
    <xdr:to>
      <xdr:col>34</xdr:col>
      <xdr:colOff>547687</xdr:colOff>
      <xdr:row>39</xdr:row>
      <xdr:rowOff>182436</xdr:rowOff>
    </xdr:to>
    <xdr:pic>
      <xdr:nvPicPr>
        <xdr:cNvPr id="35" name="Picture 34">
          <a:extLst>
            <a:ext uri="{FF2B5EF4-FFF2-40B4-BE49-F238E27FC236}">
              <a16:creationId xmlns:a16="http://schemas.microsoft.com/office/drawing/2014/main" id="{E8B760B5-ECD0-6E8A-99CF-BC2498E51C0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1002623" y="7016622"/>
          <a:ext cx="595314" cy="595314"/>
        </a:xfrm>
        <a:prstGeom prst="rect">
          <a:avLst/>
        </a:prstGeom>
      </xdr:spPr>
    </xdr:pic>
    <xdr:clientData/>
  </xdr:twoCellAnchor>
  <xdr:twoCellAnchor editAs="oneCell">
    <xdr:from>
      <xdr:col>39</xdr:col>
      <xdr:colOff>309563</xdr:colOff>
      <xdr:row>36</xdr:row>
      <xdr:rowOff>119065</xdr:rowOff>
    </xdr:from>
    <xdr:to>
      <xdr:col>40</xdr:col>
      <xdr:colOff>366712</xdr:colOff>
      <xdr:row>40</xdr:row>
      <xdr:rowOff>33339</xdr:rowOff>
    </xdr:to>
    <xdr:pic>
      <xdr:nvPicPr>
        <xdr:cNvPr id="43" name="Graphic 42" descr="Coins outline">
          <a:extLst>
            <a:ext uri="{FF2B5EF4-FFF2-40B4-BE49-F238E27FC236}">
              <a16:creationId xmlns:a16="http://schemas.microsoft.com/office/drawing/2014/main" id="{3B1CAB9E-AC92-AAC5-AAC0-B5D240A9BF4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455438" y="6977065"/>
          <a:ext cx="676274" cy="676274"/>
        </a:xfrm>
        <a:prstGeom prst="rect">
          <a:avLst/>
        </a:prstGeom>
      </xdr:spPr>
    </xdr:pic>
    <xdr:clientData/>
  </xdr:twoCellAnchor>
  <xdr:twoCellAnchor editAs="oneCell">
    <xdr:from>
      <xdr:col>34</xdr:col>
      <xdr:colOff>-1</xdr:colOff>
      <xdr:row>45</xdr:row>
      <xdr:rowOff>119063</xdr:rowOff>
    </xdr:from>
    <xdr:to>
      <xdr:col>34</xdr:col>
      <xdr:colOff>581025</xdr:colOff>
      <xdr:row>48</xdr:row>
      <xdr:rowOff>128589</xdr:rowOff>
    </xdr:to>
    <xdr:pic>
      <xdr:nvPicPr>
        <xdr:cNvPr id="45" name="Graphic 44" descr="Money with solid fill">
          <a:extLst>
            <a:ext uri="{FF2B5EF4-FFF2-40B4-BE49-F238E27FC236}">
              <a16:creationId xmlns:a16="http://schemas.microsoft.com/office/drawing/2014/main" id="{14DB4659-6BB7-66E1-F119-343C143CD2B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050249" y="8691563"/>
          <a:ext cx="581026" cy="581026"/>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0.35667</cdr:x>
      <cdr:y>0.51517</cdr:y>
    </cdr:from>
    <cdr:to>
      <cdr:x>0.55667</cdr:x>
      <cdr:y>0.66473</cdr:y>
    </cdr:to>
    <cdr:sp macro="" textlink="south">
      <cdr:nvSpPr>
        <cdr:cNvPr id="2" name="TextBox 1">
          <a:extLst xmlns:a="http://schemas.openxmlformats.org/drawingml/2006/main">
            <a:ext uri="{FF2B5EF4-FFF2-40B4-BE49-F238E27FC236}">
              <a16:creationId xmlns:a16="http://schemas.microsoft.com/office/drawing/2014/main" id="{9917EC66-8A1C-586D-B9E4-E9913D027034}"/>
            </a:ext>
          </a:extLst>
        </cdr:cNvPr>
        <cdr:cNvSpPr txBox="1"/>
      </cdr:nvSpPr>
      <cdr:spPr>
        <a:xfrm xmlns:a="http://schemas.openxmlformats.org/drawingml/2006/main">
          <a:off x="2547931" y="1476377"/>
          <a:ext cx="142875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9450660-0032-4D71-877D-3003E91FDD06}" type="TxLink">
            <a:rPr lang="en-US" sz="2400" b="0" i="0" u="none" strike="noStrike" kern="1200">
              <a:solidFill>
                <a:srgbClr val="000000"/>
              </a:solidFill>
              <a:latin typeface="Aptos Narrow"/>
            </a:rPr>
            <a:pPr/>
            <a:t>$14.8M</a:t>
          </a:fld>
          <a:endParaRPr lang="en-NG" sz="2400" kern="1200"/>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47632</xdr:colOff>
      <xdr:row>0</xdr:row>
      <xdr:rowOff>71436</xdr:rowOff>
    </xdr:from>
    <xdr:to>
      <xdr:col>32</xdr:col>
      <xdr:colOff>228662</xdr:colOff>
      <xdr:row>87</xdr:row>
      <xdr:rowOff>57149</xdr:rowOff>
    </xdr:to>
    <xdr:grpSp>
      <xdr:nvGrpSpPr>
        <xdr:cNvPr id="10" name="Group 9">
          <a:extLst>
            <a:ext uri="{FF2B5EF4-FFF2-40B4-BE49-F238E27FC236}">
              <a16:creationId xmlns:a16="http://schemas.microsoft.com/office/drawing/2014/main" id="{0417F6D0-929E-3275-064B-87EFAE1FACC8}"/>
            </a:ext>
          </a:extLst>
        </xdr:cNvPr>
        <xdr:cNvGrpSpPr/>
      </xdr:nvGrpSpPr>
      <xdr:grpSpPr>
        <a:xfrm>
          <a:off x="47632" y="71436"/>
          <a:ext cx="19485030" cy="16559213"/>
          <a:chOff x="19497" y="71435"/>
          <a:chExt cx="19688230" cy="16559213"/>
        </a:xfrm>
      </xdr:grpSpPr>
      <xdr:sp macro="" textlink="">
        <xdr:nvSpPr>
          <xdr:cNvPr id="11" name="Rectangle: Rounded Corners 10">
            <a:extLst>
              <a:ext uri="{FF2B5EF4-FFF2-40B4-BE49-F238E27FC236}">
                <a16:creationId xmlns:a16="http://schemas.microsoft.com/office/drawing/2014/main" id="{30FC5624-DAC8-542F-A2F8-0CA8B7444C46}"/>
              </a:ext>
            </a:extLst>
          </xdr:cNvPr>
          <xdr:cNvSpPr/>
        </xdr:nvSpPr>
        <xdr:spPr>
          <a:xfrm>
            <a:off x="3996537" y="1203158"/>
            <a:ext cx="9975850" cy="3422279"/>
          </a:xfrm>
          <a:prstGeom prst="roundRect">
            <a:avLst>
              <a:gd name="adj" fmla="val 6032"/>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2" name="Rectangle: Rounded Corners 11">
            <a:extLst>
              <a:ext uri="{FF2B5EF4-FFF2-40B4-BE49-F238E27FC236}">
                <a16:creationId xmlns:a16="http://schemas.microsoft.com/office/drawing/2014/main" id="{802EC799-9392-E6D4-10A7-4AEBBDD01629}"/>
              </a:ext>
            </a:extLst>
          </xdr:cNvPr>
          <xdr:cNvSpPr/>
        </xdr:nvSpPr>
        <xdr:spPr>
          <a:xfrm>
            <a:off x="14116758" y="1179095"/>
            <a:ext cx="5590969" cy="3465093"/>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3" name="Rectangle: Rounded Corners 12">
            <a:extLst>
              <a:ext uri="{FF2B5EF4-FFF2-40B4-BE49-F238E27FC236}">
                <a16:creationId xmlns:a16="http://schemas.microsoft.com/office/drawing/2014/main" id="{64017DBE-991A-6DBE-E810-A56D4E55A0F4}"/>
              </a:ext>
            </a:extLst>
          </xdr:cNvPr>
          <xdr:cNvSpPr/>
        </xdr:nvSpPr>
        <xdr:spPr>
          <a:xfrm>
            <a:off x="19497" y="71435"/>
            <a:ext cx="3493724" cy="16559213"/>
          </a:xfrm>
          <a:prstGeom prst="roundRect">
            <a:avLst>
              <a:gd name="adj" fmla="val 3827"/>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4" name="Rectangle: Rounded Corners 13">
            <a:extLst>
              <a:ext uri="{FF2B5EF4-FFF2-40B4-BE49-F238E27FC236}">
                <a16:creationId xmlns:a16="http://schemas.microsoft.com/office/drawing/2014/main" id="{518CADD3-6AFC-94D9-C3BB-0560D2887AFB}"/>
              </a:ext>
            </a:extLst>
          </xdr:cNvPr>
          <xdr:cNvSpPr/>
        </xdr:nvSpPr>
        <xdr:spPr>
          <a:xfrm>
            <a:off x="4020602" y="4820982"/>
            <a:ext cx="9975850" cy="5524133"/>
          </a:xfrm>
          <a:prstGeom prst="roundRect">
            <a:avLst>
              <a:gd name="adj" fmla="val 5005"/>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5" name="Rectangle: Rounded Corners 14">
            <a:extLst>
              <a:ext uri="{FF2B5EF4-FFF2-40B4-BE49-F238E27FC236}">
                <a16:creationId xmlns:a16="http://schemas.microsoft.com/office/drawing/2014/main" id="{998EA6C4-AF96-EDDB-2276-0C0E40DE9518}"/>
              </a:ext>
            </a:extLst>
          </xdr:cNvPr>
          <xdr:cNvSpPr/>
        </xdr:nvSpPr>
        <xdr:spPr>
          <a:xfrm>
            <a:off x="14116759" y="4838575"/>
            <a:ext cx="5590968" cy="5458414"/>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6" name="Rectangle: Rounded Corners 15">
            <a:extLst>
              <a:ext uri="{FF2B5EF4-FFF2-40B4-BE49-F238E27FC236}">
                <a16:creationId xmlns:a16="http://schemas.microsoft.com/office/drawing/2014/main" id="{53FECA5F-D0A8-33F3-430A-0FBA5A4BA553}"/>
              </a:ext>
            </a:extLst>
          </xdr:cNvPr>
          <xdr:cNvSpPr/>
        </xdr:nvSpPr>
        <xdr:spPr>
          <a:xfrm>
            <a:off x="4020600" y="10540660"/>
            <a:ext cx="9975850" cy="5524133"/>
          </a:xfrm>
          <a:prstGeom prst="roundRect">
            <a:avLst>
              <a:gd name="adj" fmla="val 5005"/>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7" name="Rectangle: Rounded Corners 16">
            <a:extLst>
              <a:ext uri="{FF2B5EF4-FFF2-40B4-BE49-F238E27FC236}">
                <a16:creationId xmlns:a16="http://schemas.microsoft.com/office/drawing/2014/main" id="{6EBB7C1C-2D25-02F4-992A-971753E8EA26}"/>
              </a:ext>
            </a:extLst>
          </xdr:cNvPr>
          <xdr:cNvSpPr/>
        </xdr:nvSpPr>
        <xdr:spPr>
          <a:xfrm>
            <a:off x="14116759" y="10573519"/>
            <a:ext cx="5590968" cy="5458414"/>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grpSp>
    <xdr:clientData/>
  </xdr:twoCellAnchor>
  <xdr:twoCellAnchor>
    <xdr:from>
      <xdr:col>17</xdr:col>
      <xdr:colOff>463550</xdr:colOff>
      <xdr:row>7</xdr:row>
      <xdr:rowOff>158750</xdr:rowOff>
    </xdr:from>
    <xdr:to>
      <xdr:col>22</xdr:col>
      <xdr:colOff>412750</xdr:colOff>
      <xdr:row>23</xdr:row>
      <xdr:rowOff>50800</xdr:rowOff>
    </xdr:to>
    <xdr:sp macro="" textlink="">
      <xdr:nvSpPr>
        <xdr:cNvPr id="26" name="Rectangle: Rounded Corners 25">
          <a:extLst>
            <a:ext uri="{FF2B5EF4-FFF2-40B4-BE49-F238E27FC236}">
              <a16:creationId xmlns:a16="http://schemas.microsoft.com/office/drawing/2014/main" id="{8772394A-0579-4192-95F7-64193C816B84}"/>
            </a:ext>
          </a:extLst>
        </xdr:cNvPr>
        <xdr:cNvSpPr/>
      </xdr:nvSpPr>
      <xdr:spPr>
        <a:xfrm>
          <a:off x="10718800" y="149225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146050</xdr:colOff>
      <xdr:row>16</xdr:row>
      <xdr:rowOff>114300</xdr:rowOff>
    </xdr:from>
    <xdr:to>
      <xdr:col>21</xdr:col>
      <xdr:colOff>527050</xdr:colOff>
      <xdr:row>22</xdr:row>
      <xdr:rowOff>146050</xdr:rowOff>
    </xdr:to>
    <xdr:sp macro="" textlink="AvgresTime">
      <xdr:nvSpPr>
        <xdr:cNvPr id="23" name="TextBox 22">
          <a:extLst>
            <a:ext uri="{FF2B5EF4-FFF2-40B4-BE49-F238E27FC236}">
              <a16:creationId xmlns:a16="http://schemas.microsoft.com/office/drawing/2014/main" id="{C2528870-2C80-43EA-9B1E-8D52C10C4FD7}"/>
            </a:ext>
          </a:extLst>
        </xdr:cNvPr>
        <xdr:cNvSpPr txBox="1"/>
      </xdr:nvSpPr>
      <xdr:spPr>
        <a:xfrm>
          <a:off x="11607800" y="316230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67C311-159C-4659-89C6-1D13A69DE26C}" type="TxLink">
            <a:rPr lang="en-US" sz="4800" b="0" i="0" u="none" strike="noStrike">
              <a:solidFill>
                <a:schemeClr val="bg1"/>
              </a:solidFill>
              <a:latin typeface="Aptos Narrow"/>
            </a:rPr>
            <a:pPr/>
            <a:t>31</a:t>
          </a:fld>
          <a:endParaRPr lang="en-NG" sz="255800">
            <a:solidFill>
              <a:schemeClr val="bg1"/>
            </a:solidFill>
          </a:endParaRPr>
        </a:p>
      </xdr:txBody>
    </xdr:sp>
    <xdr:clientData/>
  </xdr:twoCellAnchor>
  <xdr:twoCellAnchor>
    <xdr:from>
      <xdr:col>17</xdr:col>
      <xdr:colOff>571500</xdr:colOff>
      <xdr:row>20</xdr:row>
      <xdr:rowOff>95250</xdr:rowOff>
    </xdr:from>
    <xdr:to>
      <xdr:col>23</xdr:col>
      <xdr:colOff>476250</xdr:colOff>
      <xdr:row>23</xdr:row>
      <xdr:rowOff>88900</xdr:rowOff>
    </xdr:to>
    <xdr:sp macro="" textlink="">
      <xdr:nvSpPr>
        <xdr:cNvPr id="27" name="TextBox 26">
          <a:extLst>
            <a:ext uri="{FF2B5EF4-FFF2-40B4-BE49-F238E27FC236}">
              <a16:creationId xmlns:a16="http://schemas.microsoft.com/office/drawing/2014/main" id="{A0F13A99-92AC-4A66-B64D-C471DE86026F}"/>
            </a:ext>
          </a:extLst>
        </xdr:cNvPr>
        <xdr:cNvSpPr txBox="1"/>
      </xdr:nvSpPr>
      <xdr:spPr>
        <a:xfrm>
          <a:off x="10826750" y="3905250"/>
          <a:ext cx="352425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Avg. Resolution time</a:t>
          </a:r>
          <a:endParaRPr lang="en-NG" sz="2600">
            <a:solidFill>
              <a:schemeClr val="bg1"/>
            </a:solidFill>
          </a:endParaRPr>
        </a:p>
      </xdr:txBody>
    </xdr:sp>
    <xdr:clientData/>
  </xdr:twoCellAnchor>
  <xdr:twoCellAnchor>
    <xdr:from>
      <xdr:col>12</xdr:col>
      <xdr:colOff>234950</xdr:colOff>
      <xdr:row>7</xdr:row>
      <xdr:rowOff>152400</xdr:rowOff>
    </xdr:from>
    <xdr:to>
      <xdr:col>17</xdr:col>
      <xdr:colOff>184150</xdr:colOff>
      <xdr:row>23</xdr:row>
      <xdr:rowOff>44450</xdr:rowOff>
    </xdr:to>
    <xdr:sp macro="" textlink="">
      <xdr:nvSpPr>
        <xdr:cNvPr id="28" name="Rectangle: Rounded Corners 27">
          <a:extLst>
            <a:ext uri="{FF2B5EF4-FFF2-40B4-BE49-F238E27FC236}">
              <a16:creationId xmlns:a16="http://schemas.microsoft.com/office/drawing/2014/main" id="{B08BE84A-DC90-4C31-8AA1-38D868F7E531}"/>
            </a:ext>
          </a:extLst>
        </xdr:cNvPr>
        <xdr:cNvSpPr/>
      </xdr:nvSpPr>
      <xdr:spPr>
        <a:xfrm>
          <a:off x="7473950" y="148590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374650</xdr:colOff>
      <xdr:row>16</xdr:row>
      <xdr:rowOff>120650</xdr:rowOff>
    </xdr:from>
    <xdr:to>
      <xdr:col>16</xdr:col>
      <xdr:colOff>152400</xdr:colOff>
      <xdr:row>22</xdr:row>
      <xdr:rowOff>152400</xdr:rowOff>
    </xdr:to>
    <xdr:sp macro="" textlink="resolutionrate">
      <xdr:nvSpPr>
        <xdr:cNvPr id="21" name="TextBox 20">
          <a:extLst>
            <a:ext uri="{FF2B5EF4-FFF2-40B4-BE49-F238E27FC236}">
              <a16:creationId xmlns:a16="http://schemas.microsoft.com/office/drawing/2014/main" id="{DD67E47D-80E7-4BB5-AE1D-D752CC768C82}"/>
            </a:ext>
          </a:extLst>
        </xdr:cNvPr>
        <xdr:cNvSpPr txBox="1"/>
      </xdr:nvSpPr>
      <xdr:spPr>
        <a:xfrm>
          <a:off x="8216900" y="316865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FFB0FA-4752-4B4F-907F-9D29D52F4473}" type="TxLink">
            <a:rPr lang="en-US" sz="4800" b="0" i="0" u="none" strike="noStrike">
              <a:solidFill>
                <a:schemeClr val="bg1"/>
              </a:solidFill>
              <a:latin typeface="Aptos Narrow"/>
            </a:rPr>
            <a:pPr/>
            <a:t>59%</a:t>
          </a:fld>
          <a:endParaRPr lang="en-NG" sz="255800">
            <a:solidFill>
              <a:schemeClr val="bg1"/>
            </a:solidFill>
          </a:endParaRPr>
        </a:p>
      </xdr:txBody>
    </xdr:sp>
    <xdr:clientData/>
  </xdr:twoCellAnchor>
  <xdr:twoCellAnchor>
    <xdr:from>
      <xdr:col>6</xdr:col>
      <xdr:colOff>546100</xdr:colOff>
      <xdr:row>7</xdr:row>
      <xdr:rowOff>146050</xdr:rowOff>
    </xdr:from>
    <xdr:to>
      <xdr:col>11</xdr:col>
      <xdr:colOff>495300</xdr:colOff>
      <xdr:row>23</xdr:row>
      <xdr:rowOff>38100</xdr:rowOff>
    </xdr:to>
    <xdr:sp macro="" textlink="">
      <xdr:nvSpPr>
        <xdr:cNvPr id="29" name="Rectangle: Rounded Corners 28">
          <a:extLst>
            <a:ext uri="{FF2B5EF4-FFF2-40B4-BE49-F238E27FC236}">
              <a16:creationId xmlns:a16="http://schemas.microsoft.com/office/drawing/2014/main" id="{CA9ADE2C-0AC1-4FDD-A473-F047D6F3B596}"/>
            </a:ext>
          </a:extLst>
        </xdr:cNvPr>
        <xdr:cNvSpPr/>
      </xdr:nvSpPr>
      <xdr:spPr>
        <a:xfrm>
          <a:off x="4165600" y="147955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571500</xdr:colOff>
      <xdr:row>16</xdr:row>
      <xdr:rowOff>95250</xdr:rowOff>
    </xdr:from>
    <xdr:to>
      <xdr:col>10</xdr:col>
      <xdr:colOff>349250</xdr:colOff>
      <xdr:row>22</xdr:row>
      <xdr:rowOff>127000</xdr:rowOff>
    </xdr:to>
    <xdr:sp macro="" textlink="TFC">
      <xdr:nvSpPr>
        <xdr:cNvPr id="19" name="TextBox 18">
          <a:extLst>
            <a:ext uri="{FF2B5EF4-FFF2-40B4-BE49-F238E27FC236}">
              <a16:creationId xmlns:a16="http://schemas.microsoft.com/office/drawing/2014/main" id="{663E256C-1CF0-82C2-4849-0948DE27FAE7}"/>
            </a:ext>
          </a:extLst>
        </xdr:cNvPr>
        <xdr:cNvSpPr txBox="1"/>
      </xdr:nvSpPr>
      <xdr:spPr>
        <a:xfrm>
          <a:off x="4794250" y="314325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6098B9-B409-47E7-8EDC-78935856B9B9}" type="TxLink">
            <a:rPr lang="en-US" sz="4800" b="0" i="0" u="none" strike="noStrike">
              <a:solidFill>
                <a:schemeClr val="bg1"/>
              </a:solidFill>
              <a:latin typeface="Aptos Narrow"/>
            </a:rPr>
            <a:pPr/>
            <a:t>142</a:t>
          </a:fld>
          <a:endParaRPr lang="en-NG" sz="4800">
            <a:solidFill>
              <a:schemeClr val="bg1"/>
            </a:solidFill>
          </a:endParaRPr>
        </a:p>
      </xdr:txBody>
    </xdr:sp>
    <xdr:clientData/>
  </xdr:twoCellAnchor>
  <xdr:twoCellAnchor>
    <xdr:from>
      <xdr:col>7</xdr:col>
      <xdr:colOff>285750</xdr:colOff>
      <xdr:row>20</xdr:row>
      <xdr:rowOff>31750</xdr:rowOff>
    </xdr:from>
    <xdr:to>
      <xdr:col>12</xdr:col>
      <xdr:colOff>127000</xdr:colOff>
      <xdr:row>23</xdr:row>
      <xdr:rowOff>127000</xdr:rowOff>
    </xdr:to>
    <xdr:sp macro="" textlink="">
      <xdr:nvSpPr>
        <xdr:cNvPr id="20" name="TextBox 19">
          <a:extLst>
            <a:ext uri="{FF2B5EF4-FFF2-40B4-BE49-F238E27FC236}">
              <a16:creationId xmlns:a16="http://schemas.microsoft.com/office/drawing/2014/main" id="{918934BC-99CE-9EEF-3CB8-577B36887BDD}"/>
            </a:ext>
          </a:extLst>
        </xdr:cNvPr>
        <xdr:cNvSpPr txBox="1"/>
      </xdr:nvSpPr>
      <xdr:spPr>
        <a:xfrm>
          <a:off x="4508500" y="3841750"/>
          <a:ext cx="2857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Fraud</a:t>
          </a:r>
          <a:r>
            <a:rPr lang="en-GB" sz="2800" baseline="0">
              <a:solidFill>
                <a:schemeClr val="bg1"/>
              </a:solidFill>
            </a:rPr>
            <a:t> Cases</a:t>
          </a:r>
          <a:endParaRPr lang="en-NG" sz="2800">
            <a:solidFill>
              <a:schemeClr val="bg1"/>
            </a:solidFill>
          </a:endParaRPr>
        </a:p>
      </xdr:txBody>
    </xdr:sp>
    <xdr:clientData/>
  </xdr:twoCellAnchor>
  <xdr:twoCellAnchor>
    <xdr:from>
      <xdr:col>12</xdr:col>
      <xdr:colOff>539750</xdr:colOff>
      <xdr:row>20</xdr:row>
      <xdr:rowOff>31750</xdr:rowOff>
    </xdr:from>
    <xdr:to>
      <xdr:col>17</xdr:col>
      <xdr:colOff>508000</xdr:colOff>
      <xdr:row>24</xdr:row>
      <xdr:rowOff>0</xdr:rowOff>
    </xdr:to>
    <xdr:sp macro="" textlink="">
      <xdr:nvSpPr>
        <xdr:cNvPr id="22" name="TextBox 21">
          <a:extLst>
            <a:ext uri="{FF2B5EF4-FFF2-40B4-BE49-F238E27FC236}">
              <a16:creationId xmlns:a16="http://schemas.microsoft.com/office/drawing/2014/main" id="{884CC9A5-DBFA-4ABE-9B0C-D7D935BE866A}"/>
            </a:ext>
          </a:extLst>
        </xdr:cNvPr>
        <xdr:cNvSpPr txBox="1"/>
      </xdr:nvSpPr>
      <xdr:spPr>
        <a:xfrm>
          <a:off x="7778750" y="3841750"/>
          <a:ext cx="2984500"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Resolution Rate</a:t>
          </a:r>
          <a:endParaRPr lang="en-NG" sz="2800">
            <a:solidFill>
              <a:schemeClr val="bg1"/>
            </a:solidFill>
          </a:endParaRPr>
        </a:p>
      </xdr:txBody>
    </xdr:sp>
    <xdr:clientData/>
  </xdr:twoCellAnchor>
  <xdr:twoCellAnchor>
    <xdr:from>
      <xdr:col>20</xdr:col>
      <xdr:colOff>311150</xdr:colOff>
      <xdr:row>18</xdr:row>
      <xdr:rowOff>31750</xdr:rowOff>
    </xdr:from>
    <xdr:to>
      <xdr:col>22</xdr:col>
      <xdr:colOff>508000</xdr:colOff>
      <xdr:row>20</xdr:row>
      <xdr:rowOff>114300</xdr:rowOff>
    </xdr:to>
    <xdr:sp macro="" textlink="">
      <xdr:nvSpPr>
        <xdr:cNvPr id="30" name="TextBox 29">
          <a:extLst>
            <a:ext uri="{FF2B5EF4-FFF2-40B4-BE49-F238E27FC236}">
              <a16:creationId xmlns:a16="http://schemas.microsoft.com/office/drawing/2014/main" id="{E7D74F92-1240-45E9-AF27-BBA8F1975D4D}"/>
            </a:ext>
          </a:extLst>
        </xdr:cNvPr>
        <xdr:cNvSpPr txBox="1"/>
      </xdr:nvSpPr>
      <xdr:spPr>
        <a:xfrm>
          <a:off x="12376150" y="3460750"/>
          <a:ext cx="14033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days</a:t>
          </a:r>
          <a:endParaRPr lang="en-NG" sz="2600">
            <a:solidFill>
              <a:schemeClr val="bg1"/>
            </a:solidFill>
          </a:endParaRPr>
        </a:p>
      </xdr:txBody>
    </xdr:sp>
    <xdr:clientData/>
  </xdr:twoCellAnchor>
  <xdr:twoCellAnchor>
    <xdr:from>
      <xdr:col>19</xdr:col>
      <xdr:colOff>311150</xdr:colOff>
      <xdr:row>26</xdr:row>
      <xdr:rowOff>25400</xdr:rowOff>
    </xdr:from>
    <xdr:to>
      <xdr:col>22</xdr:col>
      <xdr:colOff>88900</xdr:colOff>
      <xdr:row>32</xdr:row>
      <xdr:rowOff>57150</xdr:rowOff>
    </xdr:to>
    <xdr:sp macro="" textlink="tcomplains">
      <xdr:nvSpPr>
        <xdr:cNvPr id="31" name="TextBox 30">
          <a:extLst>
            <a:ext uri="{FF2B5EF4-FFF2-40B4-BE49-F238E27FC236}">
              <a16:creationId xmlns:a16="http://schemas.microsoft.com/office/drawing/2014/main" id="{3D560A2F-9B49-48CE-AA41-D860DB6F877A}"/>
            </a:ext>
          </a:extLst>
        </xdr:cNvPr>
        <xdr:cNvSpPr txBox="1"/>
      </xdr:nvSpPr>
      <xdr:spPr>
        <a:xfrm>
          <a:off x="11772900" y="497840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E70D70-1193-4BCA-9C1E-9091DC6F1EC9}" type="TxLink">
            <a:rPr lang="en-US" sz="6000" b="0" i="0" u="none" strike="noStrike">
              <a:solidFill>
                <a:schemeClr val="bg1"/>
              </a:solidFill>
              <a:latin typeface="Aptos Narrow"/>
            </a:rPr>
            <a:pPr/>
            <a:t>800</a:t>
          </a:fld>
          <a:endParaRPr lang="en-NG" sz="400000">
            <a:solidFill>
              <a:schemeClr val="bg1"/>
            </a:solidFill>
          </a:endParaRPr>
        </a:p>
      </xdr:txBody>
    </xdr:sp>
    <xdr:clientData/>
  </xdr:twoCellAnchor>
  <xdr:twoCellAnchor>
    <xdr:from>
      <xdr:col>7</xdr:col>
      <xdr:colOff>95250</xdr:colOff>
      <xdr:row>35</xdr:row>
      <xdr:rowOff>95250</xdr:rowOff>
    </xdr:from>
    <xdr:to>
      <xdr:col>22</xdr:col>
      <xdr:colOff>317500</xdr:colOff>
      <xdr:row>53</xdr:row>
      <xdr:rowOff>31750</xdr:rowOff>
    </xdr:to>
    <xdr:graphicFrame macro="">
      <xdr:nvGraphicFramePr>
        <xdr:cNvPr id="32" name="Chart 31">
          <a:extLst>
            <a:ext uri="{FF2B5EF4-FFF2-40B4-BE49-F238E27FC236}">
              <a16:creationId xmlns:a16="http://schemas.microsoft.com/office/drawing/2014/main" id="{4D929071-B292-4895-9488-719A9B9FC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25400</xdr:colOff>
      <xdr:row>25</xdr:row>
      <xdr:rowOff>88900</xdr:rowOff>
    </xdr:from>
    <xdr:to>
      <xdr:col>11</xdr:col>
      <xdr:colOff>596900</xdr:colOff>
      <xdr:row>29</xdr:row>
      <xdr:rowOff>57150</xdr:rowOff>
    </xdr:to>
    <xdr:sp macro="" textlink="">
      <xdr:nvSpPr>
        <xdr:cNvPr id="2" name="TextBox 1">
          <a:extLst>
            <a:ext uri="{FF2B5EF4-FFF2-40B4-BE49-F238E27FC236}">
              <a16:creationId xmlns:a16="http://schemas.microsoft.com/office/drawing/2014/main" id="{B8197104-BE11-4817-AEB8-30AFE84E6020}"/>
            </a:ext>
          </a:extLst>
        </xdr:cNvPr>
        <xdr:cNvSpPr txBox="1"/>
      </xdr:nvSpPr>
      <xdr:spPr>
        <a:xfrm>
          <a:off x="4248150" y="4851400"/>
          <a:ext cx="2984500"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aseline="0">
              <a:solidFill>
                <a:schemeClr val="bg1"/>
              </a:solidFill>
            </a:rPr>
            <a:t>COMPLAINTS</a:t>
          </a:r>
          <a:endParaRPr lang="en-NG" sz="3200">
            <a:solidFill>
              <a:schemeClr val="bg1"/>
            </a:solidFill>
          </a:endParaRPr>
        </a:p>
      </xdr:txBody>
    </xdr:sp>
    <xdr:clientData/>
  </xdr:twoCellAnchor>
  <xdr:twoCellAnchor>
    <xdr:from>
      <xdr:col>6</xdr:col>
      <xdr:colOff>501650</xdr:colOff>
      <xdr:row>28</xdr:row>
      <xdr:rowOff>25400</xdr:rowOff>
    </xdr:from>
    <xdr:to>
      <xdr:col>18</xdr:col>
      <xdr:colOff>412750</xdr:colOff>
      <xdr:row>31</xdr:row>
      <xdr:rowOff>95250</xdr:rowOff>
    </xdr:to>
    <xdr:sp macro="" textlink="">
      <xdr:nvSpPr>
        <xdr:cNvPr id="3" name="TextBox 2">
          <a:extLst>
            <a:ext uri="{FF2B5EF4-FFF2-40B4-BE49-F238E27FC236}">
              <a16:creationId xmlns:a16="http://schemas.microsoft.com/office/drawing/2014/main" id="{5597397E-A60D-4B98-BD79-8F5151326D2A}"/>
            </a:ext>
          </a:extLst>
        </xdr:cNvPr>
        <xdr:cNvSpPr txBox="1"/>
      </xdr:nvSpPr>
      <xdr:spPr>
        <a:xfrm>
          <a:off x="4121150" y="5359400"/>
          <a:ext cx="7150100" cy="64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Compared to 2024, complaints decreased by -28%</a:t>
          </a:r>
          <a:endParaRPr lang="en-NG" sz="2600">
            <a:solidFill>
              <a:schemeClr val="bg1"/>
            </a:solidFill>
          </a:endParaRPr>
        </a:p>
      </xdr:txBody>
    </xdr:sp>
    <xdr:clientData/>
  </xdr:twoCellAnchor>
  <xdr:twoCellAnchor>
    <xdr:from>
      <xdr:col>19</xdr:col>
      <xdr:colOff>571500</xdr:colOff>
      <xdr:row>9</xdr:row>
      <xdr:rowOff>31750</xdr:rowOff>
    </xdr:from>
    <xdr:to>
      <xdr:col>35</xdr:col>
      <xdr:colOff>0</xdr:colOff>
      <xdr:row>21</xdr:row>
      <xdr:rowOff>63499</xdr:rowOff>
    </xdr:to>
    <xdr:graphicFrame macro="">
      <xdr:nvGraphicFramePr>
        <xdr:cNvPr id="4" name="Chart 3">
          <a:extLst>
            <a:ext uri="{FF2B5EF4-FFF2-40B4-BE49-F238E27FC236}">
              <a16:creationId xmlns:a16="http://schemas.microsoft.com/office/drawing/2014/main" id="{CBC1E229-73A2-4C20-9617-E2B6FC7A7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285750</xdr:colOff>
      <xdr:row>12</xdr:row>
      <xdr:rowOff>63500</xdr:rowOff>
    </xdr:from>
    <xdr:to>
      <xdr:col>28</xdr:col>
      <xdr:colOff>476250</xdr:colOff>
      <xdr:row>15</xdr:row>
      <xdr:rowOff>158750</xdr:rowOff>
    </xdr:to>
    <xdr:sp macro="" textlink="resolved">
      <xdr:nvSpPr>
        <xdr:cNvPr id="5" name="TextBox 4">
          <a:extLst>
            <a:ext uri="{FF2B5EF4-FFF2-40B4-BE49-F238E27FC236}">
              <a16:creationId xmlns:a16="http://schemas.microsoft.com/office/drawing/2014/main" id="{B67F28CE-4E02-617B-90E3-51CE909BED3C}"/>
            </a:ext>
          </a:extLst>
        </xdr:cNvPr>
        <xdr:cNvSpPr txBox="1"/>
      </xdr:nvSpPr>
      <xdr:spPr>
        <a:xfrm>
          <a:off x="15970250" y="2349500"/>
          <a:ext cx="13970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6C6F14-6888-4508-AAFC-9246773B0C0C}" type="TxLink">
            <a:rPr lang="en-US" sz="5400" b="0" i="0" u="none" strike="noStrike">
              <a:solidFill>
                <a:schemeClr val="bg1"/>
              </a:solidFill>
              <a:latin typeface="Aptos Black" panose="020F0502020204030204" pitchFamily="34" charset="0"/>
            </a:rPr>
            <a:pPr/>
            <a:t>471</a:t>
          </a:fld>
          <a:endParaRPr lang="en-NG" sz="5400">
            <a:solidFill>
              <a:schemeClr val="bg1"/>
            </a:solidFill>
            <a:latin typeface="Aptos Black" panose="020F0502020204030204" pitchFamily="34" charset="0"/>
          </a:endParaRPr>
        </a:p>
      </xdr:txBody>
    </xdr:sp>
    <xdr:clientData/>
  </xdr:twoCellAnchor>
  <xdr:twoCellAnchor>
    <xdr:from>
      <xdr:col>26</xdr:col>
      <xdr:colOff>152400</xdr:colOff>
      <xdr:row>15</xdr:row>
      <xdr:rowOff>63500</xdr:rowOff>
    </xdr:from>
    <xdr:to>
      <xdr:col>29</xdr:col>
      <xdr:colOff>127000</xdr:colOff>
      <xdr:row>19</xdr:row>
      <xdr:rowOff>120650</xdr:rowOff>
    </xdr:to>
    <xdr:sp macro="" textlink="">
      <xdr:nvSpPr>
        <xdr:cNvPr id="6" name="TextBox 5">
          <a:extLst>
            <a:ext uri="{FF2B5EF4-FFF2-40B4-BE49-F238E27FC236}">
              <a16:creationId xmlns:a16="http://schemas.microsoft.com/office/drawing/2014/main" id="{E19A1F74-C503-4ACA-BE2D-8D85A9072147}"/>
            </a:ext>
          </a:extLst>
        </xdr:cNvPr>
        <xdr:cNvSpPr txBox="1"/>
      </xdr:nvSpPr>
      <xdr:spPr>
        <a:xfrm>
          <a:off x="15836900" y="2921000"/>
          <a:ext cx="1784350"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Resolved</a:t>
          </a:r>
          <a:endParaRPr lang="en-NG" sz="2800">
            <a:solidFill>
              <a:schemeClr val="bg1"/>
            </a:solidFill>
          </a:endParaRPr>
        </a:p>
      </xdr:txBody>
    </xdr:sp>
    <xdr:clientData/>
  </xdr:twoCellAnchor>
  <xdr:twoCellAnchor>
    <xdr:from>
      <xdr:col>23</xdr:col>
      <xdr:colOff>571500</xdr:colOff>
      <xdr:row>6</xdr:row>
      <xdr:rowOff>0</xdr:rowOff>
    </xdr:from>
    <xdr:to>
      <xdr:col>32</xdr:col>
      <xdr:colOff>412750</xdr:colOff>
      <xdr:row>8</xdr:row>
      <xdr:rowOff>184150</xdr:rowOff>
    </xdr:to>
    <xdr:sp macro="" textlink="">
      <xdr:nvSpPr>
        <xdr:cNvPr id="7" name="TextBox 6">
          <a:extLst>
            <a:ext uri="{FF2B5EF4-FFF2-40B4-BE49-F238E27FC236}">
              <a16:creationId xmlns:a16="http://schemas.microsoft.com/office/drawing/2014/main" id="{8C6FF785-2103-49CB-A5EA-3A99B6DCD3EE}"/>
            </a:ext>
          </a:extLst>
        </xdr:cNvPr>
        <xdr:cNvSpPr txBox="1"/>
      </xdr:nvSpPr>
      <xdr:spPr>
        <a:xfrm>
          <a:off x="14446250" y="114300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Resolved vs</a:t>
          </a:r>
          <a:r>
            <a:rPr lang="en-GB" sz="2800" baseline="0">
              <a:solidFill>
                <a:schemeClr val="bg1"/>
              </a:solidFill>
            </a:rPr>
            <a:t> Unresolved</a:t>
          </a:r>
          <a:endParaRPr lang="en-NG" sz="2800">
            <a:solidFill>
              <a:schemeClr val="bg1"/>
            </a:solidFill>
          </a:endParaRPr>
        </a:p>
      </xdr:txBody>
    </xdr:sp>
    <xdr:clientData/>
  </xdr:twoCellAnchor>
  <xdr:twoCellAnchor>
    <xdr:from>
      <xdr:col>23</xdr:col>
      <xdr:colOff>127000</xdr:colOff>
      <xdr:row>20</xdr:row>
      <xdr:rowOff>120650</xdr:rowOff>
    </xdr:from>
    <xdr:to>
      <xdr:col>33</xdr:col>
      <xdr:colOff>508000</xdr:colOff>
      <xdr:row>26</xdr:row>
      <xdr:rowOff>31750</xdr:rowOff>
    </xdr:to>
    <xdr:sp macro="" textlink="">
      <xdr:nvSpPr>
        <xdr:cNvPr id="8" name="TextBox 7">
          <a:extLst>
            <a:ext uri="{FF2B5EF4-FFF2-40B4-BE49-F238E27FC236}">
              <a16:creationId xmlns:a16="http://schemas.microsoft.com/office/drawing/2014/main" id="{95C863E0-3EBC-4B89-9AFC-5E6DE55124C8}"/>
            </a:ext>
          </a:extLst>
        </xdr:cNvPr>
        <xdr:cNvSpPr txBox="1"/>
      </xdr:nvSpPr>
      <xdr:spPr>
        <a:xfrm>
          <a:off x="14001750" y="3930650"/>
          <a:ext cx="6413500" cy="105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t>59% of all complaints have been resolved,41%</a:t>
          </a:r>
          <a:b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br>
          <a: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t> are unresolved</a:t>
          </a:r>
          <a:endParaRPr lang="en-NG" sz="21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539750</xdr:colOff>
      <xdr:row>33</xdr:row>
      <xdr:rowOff>0</xdr:rowOff>
    </xdr:from>
    <xdr:to>
      <xdr:col>32</xdr:col>
      <xdr:colOff>317500</xdr:colOff>
      <xdr:row>53</xdr:row>
      <xdr:rowOff>63500</xdr:rowOff>
    </xdr:to>
    <xdr:graphicFrame macro="">
      <xdr:nvGraphicFramePr>
        <xdr:cNvPr id="18" name="Chart 17">
          <a:extLst>
            <a:ext uri="{FF2B5EF4-FFF2-40B4-BE49-F238E27FC236}">
              <a16:creationId xmlns:a16="http://schemas.microsoft.com/office/drawing/2014/main" id="{7B3CE32B-C9C1-4796-9192-277BC8ED4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469900</xdr:colOff>
      <xdr:row>25</xdr:row>
      <xdr:rowOff>57150</xdr:rowOff>
    </xdr:from>
    <xdr:to>
      <xdr:col>32</xdr:col>
      <xdr:colOff>311150</xdr:colOff>
      <xdr:row>28</xdr:row>
      <xdr:rowOff>50800</xdr:rowOff>
    </xdr:to>
    <xdr:sp macro="" textlink="">
      <xdr:nvSpPr>
        <xdr:cNvPr id="24" name="TextBox 23">
          <a:extLst>
            <a:ext uri="{FF2B5EF4-FFF2-40B4-BE49-F238E27FC236}">
              <a16:creationId xmlns:a16="http://schemas.microsoft.com/office/drawing/2014/main" id="{E04EBDDC-9B89-483B-8BCD-E5C4F7A6083E}"/>
            </a:ext>
          </a:extLst>
        </xdr:cNvPr>
        <xdr:cNvSpPr txBox="1"/>
      </xdr:nvSpPr>
      <xdr:spPr>
        <a:xfrm>
          <a:off x="14344650" y="481965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Complaint</a:t>
          </a:r>
          <a:r>
            <a:rPr lang="en-GB" sz="2800" baseline="0">
              <a:solidFill>
                <a:schemeClr val="bg1"/>
              </a:solidFill>
            </a:rPr>
            <a:t> Volume by Type</a:t>
          </a:r>
          <a:endParaRPr lang="en-NG" sz="2800">
            <a:solidFill>
              <a:schemeClr val="bg1"/>
            </a:solidFill>
          </a:endParaRPr>
        </a:p>
      </xdr:txBody>
    </xdr:sp>
    <xdr:clientData/>
  </xdr:twoCellAnchor>
  <xdr:twoCellAnchor>
    <xdr:from>
      <xdr:col>6</xdr:col>
      <xdr:colOff>381000</xdr:colOff>
      <xdr:row>61</xdr:row>
      <xdr:rowOff>31750</xdr:rowOff>
    </xdr:from>
    <xdr:to>
      <xdr:col>22</xdr:col>
      <xdr:colOff>254000</xdr:colOff>
      <xdr:row>85</xdr:row>
      <xdr:rowOff>127000</xdr:rowOff>
    </xdr:to>
    <xdr:graphicFrame macro="">
      <xdr:nvGraphicFramePr>
        <xdr:cNvPr id="25" name="Chart 24">
          <a:extLst>
            <a:ext uri="{FF2B5EF4-FFF2-40B4-BE49-F238E27FC236}">
              <a16:creationId xmlns:a16="http://schemas.microsoft.com/office/drawing/2014/main" id="{0266BE43-3F2A-4F3B-A5B4-75239C296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368300</xdr:colOff>
      <xdr:row>54</xdr:row>
      <xdr:rowOff>177800</xdr:rowOff>
    </xdr:from>
    <xdr:to>
      <xdr:col>22</xdr:col>
      <xdr:colOff>349250</xdr:colOff>
      <xdr:row>58</xdr:row>
      <xdr:rowOff>158750</xdr:rowOff>
    </xdr:to>
    <xdr:sp macro="" textlink="">
      <xdr:nvSpPr>
        <xdr:cNvPr id="33" name="TextBox 32">
          <a:extLst>
            <a:ext uri="{FF2B5EF4-FFF2-40B4-BE49-F238E27FC236}">
              <a16:creationId xmlns:a16="http://schemas.microsoft.com/office/drawing/2014/main" id="{2134BCFF-F59B-464F-BDE4-A90BE827F296}"/>
            </a:ext>
          </a:extLst>
        </xdr:cNvPr>
        <xdr:cNvSpPr txBox="1"/>
      </xdr:nvSpPr>
      <xdr:spPr>
        <a:xfrm>
          <a:off x="3384550" y="10464800"/>
          <a:ext cx="102362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a:solidFill>
                <a:schemeClr val="bg1"/>
              </a:solidFill>
            </a:rPr>
            <a:t>	Which</a:t>
          </a:r>
          <a:r>
            <a:rPr lang="en-GB" sz="3600" baseline="0">
              <a:solidFill>
                <a:schemeClr val="bg1"/>
              </a:solidFill>
            </a:rPr>
            <a:t> complaint type takes time to resolve?</a:t>
          </a:r>
          <a:endParaRPr lang="en-NG" sz="3600">
            <a:solidFill>
              <a:schemeClr val="bg1"/>
            </a:solidFill>
          </a:endParaRPr>
        </a:p>
      </xdr:txBody>
    </xdr:sp>
    <xdr:clientData/>
  </xdr:twoCellAnchor>
  <xdr:twoCellAnchor>
    <xdr:from>
      <xdr:col>7</xdr:col>
      <xdr:colOff>114300</xdr:colOff>
      <xdr:row>58</xdr:row>
      <xdr:rowOff>19050</xdr:rowOff>
    </xdr:from>
    <xdr:to>
      <xdr:col>22</xdr:col>
      <xdr:colOff>254000</xdr:colOff>
      <xdr:row>60</xdr:row>
      <xdr:rowOff>158750</xdr:rowOff>
    </xdr:to>
    <xdr:sp macro="" textlink="">
      <xdr:nvSpPr>
        <xdr:cNvPr id="34" name="TextBox 33">
          <a:extLst>
            <a:ext uri="{FF2B5EF4-FFF2-40B4-BE49-F238E27FC236}">
              <a16:creationId xmlns:a16="http://schemas.microsoft.com/office/drawing/2014/main" id="{7F636ADA-36ED-4F9A-9613-D9FC60446DE9}"/>
            </a:ext>
          </a:extLst>
        </xdr:cNvPr>
        <xdr:cNvSpPr txBox="1"/>
      </xdr:nvSpPr>
      <xdr:spPr>
        <a:xfrm>
          <a:off x="4337050" y="11068050"/>
          <a:ext cx="918845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Fraud are resolved the fastest among all complaints</a:t>
          </a:r>
          <a:endParaRPr lang="en-NG" sz="2800">
            <a:solidFill>
              <a:schemeClr val="bg1"/>
            </a:solidFill>
          </a:endParaRPr>
        </a:p>
      </xdr:txBody>
    </xdr:sp>
    <xdr:clientData/>
  </xdr:twoCellAnchor>
  <xdr:twoCellAnchor>
    <xdr:from>
      <xdr:col>23</xdr:col>
      <xdr:colOff>463550</xdr:colOff>
      <xdr:row>55</xdr:row>
      <xdr:rowOff>82550</xdr:rowOff>
    </xdr:from>
    <xdr:to>
      <xdr:col>32</xdr:col>
      <xdr:colOff>304800</xdr:colOff>
      <xdr:row>58</xdr:row>
      <xdr:rowOff>76200</xdr:rowOff>
    </xdr:to>
    <xdr:sp macro="" textlink="">
      <xdr:nvSpPr>
        <xdr:cNvPr id="9" name="TextBox 8">
          <a:extLst>
            <a:ext uri="{FF2B5EF4-FFF2-40B4-BE49-F238E27FC236}">
              <a16:creationId xmlns:a16="http://schemas.microsoft.com/office/drawing/2014/main" id="{66F42E96-7BA6-4222-AAB3-02A6A1E9A188}"/>
            </a:ext>
          </a:extLst>
        </xdr:cNvPr>
        <xdr:cNvSpPr txBox="1"/>
      </xdr:nvSpPr>
      <xdr:spPr>
        <a:xfrm>
          <a:off x="14338300" y="1056005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a:solidFill>
                <a:schemeClr val="bg1"/>
              </a:solidFill>
            </a:rPr>
            <a:t>Summary</a:t>
          </a:r>
          <a:r>
            <a:rPr lang="en-GB" sz="3200" baseline="0">
              <a:solidFill>
                <a:schemeClr val="bg1"/>
              </a:solidFill>
            </a:rPr>
            <a:t> on Charges Dispute</a:t>
          </a:r>
          <a:endParaRPr lang="en-NG" sz="3200">
            <a:solidFill>
              <a:schemeClr val="bg1"/>
            </a:solidFill>
          </a:endParaRPr>
        </a:p>
      </xdr:txBody>
    </xdr:sp>
    <xdr:clientData/>
  </xdr:twoCellAnchor>
  <xdr:twoCellAnchor>
    <xdr:from>
      <xdr:col>23</xdr:col>
      <xdr:colOff>127000</xdr:colOff>
      <xdr:row>60</xdr:row>
      <xdr:rowOff>0</xdr:rowOff>
    </xdr:from>
    <xdr:to>
      <xdr:col>32</xdr:col>
      <xdr:colOff>254000</xdr:colOff>
      <xdr:row>83</xdr:row>
      <xdr:rowOff>127000</xdr:rowOff>
    </xdr:to>
    <xdr:sp macro="" textlink="">
      <xdr:nvSpPr>
        <xdr:cNvPr id="35" name="TextBox 34">
          <a:extLst>
            <a:ext uri="{FF2B5EF4-FFF2-40B4-BE49-F238E27FC236}">
              <a16:creationId xmlns:a16="http://schemas.microsoft.com/office/drawing/2014/main" id="{B102987A-D5B7-4BAF-833C-E36E9A5971B0}"/>
            </a:ext>
          </a:extLst>
        </xdr:cNvPr>
        <xdr:cNvSpPr txBox="1"/>
      </xdr:nvSpPr>
      <xdr:spPr>
        <a:xfrm>
          <a:off x="14001750" y="11430000"/>
          <a:ext cx="5556250" cy="450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Charges dispute recorded the highest complaint volume with 184 cases, representing the largest share of total customer issues. This indicates that a significant portion of complaints originates from billing and transaction-related concerns, making it a key area requiring operational review and tighter control.</a:t>
          </a:r>
          <a:endParaRPr lang="en-NG" sz="2800">
            <a:solidFill>
              <a:schemeClr val="bg1"/>
            </a:solidFill>
          </a:endParaRPr>
        </a:p>
      </xdr:txBody>
    </xdr:sp>
    <xdr:clientData/>
  </xdr:twoCellAnchor>
  <xdr:twoCellAnchor editAs="oneCell">
    <xdr:from>
      <xdr:col>7</xdr:col>
      <xdr:colOff>190500</xdr:colOff>
      <xdr:row>8</xdr:row>
      <xdr:rowOff>133274</xdr:rowOff>
    </xdr:from>
    <xdr:to>
      <xdr:col>9</xdr:col>
      <xdr:colOff>222250</xdr:colOff>
      <xdr:row>15</xdr:row>
      <xdr:rowOff>38024</xdr:rowOff>
    </xdr:to>
    <xdr:pic>
      <xdr:nvPicPr>
        <xdr:cNvPr id="38" name="Picture 37">
          <a:extLst>
            <a:ext uri="{FF2B5EF4-FFF2-40B4-BE49-F238E27FC236}">
              <a16:creationId xmlns:a16="http://schemas.microsoft.com/office/drawing/2014/main" id="{47AFCBCD-2739-D5F0-D819-B92B18284A02}"/>
            </a:ext>
          </a:extLst>
        </xdr:cNvPr>
        <xdr:cNvPicPr>
          <a:picLocks noChangeAspect="1"/>
        </xdr:cNvPicPr>
      </xdr:nvPicPr>
      <xdr:blipFill>
        <a:blip xmlns:r="http://schemas.openxmlformats.org/officeDocument/2006/relationships" r:embed="rId5">
          <a:lum bright="70000" contrast="-70000"/>
          <a:extLst>
            <a:ext uri="{28A0092B-C50C-407E-A947-70E740481C1C}">
              <a14:useLocalDpi xmlns:a14="http://schemas.microsoft.com/office/drawing/2010/main" val="0"/>
            </a:ext>
          </a:extLst>
        </a:blip>
        <a:stretch>
          <a:fillRect/>
        </a:stretch>
      </xdr:blipFill>
      <xdr:spPr>
        <a:xfrm>
          <a:off x="4413250" y="1657274"/>
          <a:ext cx="1238250" cy="1238250"/>
        </a:xfrm>
        <a:prstGeom prst="rect">
          <a:avLst/>
        </a:prstGeom>
      </xdr:spPr>
    </xdr:pic>
    <xdr:clientData/>
  </xdr:twoCellAnchor>
  <xdr:twoCellAnchor editAs="oneCell">
    <xdr:from>
      <xdr:col>18</xdr:col>
      <xdr:colOff>0</xdr:colOff>
      <xdr:row>8</xdr:row>
      <xdr:rowOff>126922</xdr:rowOff>
    </xdr:from>
    <xdr:to>
      <xdr:col>20</xdr:col>
      <xdr:colOff>95250</xdr:colOff>
      <xdr:row>15</xdr:row>
      <xdr:rowOff>95172</xdr:rowOff>
    </xdr:to>
    <xdr:pic>
      <xdr:nvPicPr>
        <xdr:cNvPr id="41" name="Picture 40">
          <a:extLst>
            <a:ext uri="{FF2B5EF4-FFF2-40B4-BE49-F238E27FC236}">
              <a16:creationId xmlns:a16="http://schemas.microsoft.com/office/drawing/2014/main" id="{ABAF7C2D-12DB-5365-CCB4-E23D72A43EF7}"/>
            </a:ext>
          </a:extLst>
        </xdr:cNvPr>
        <xdr:cNvPicPr>
          <a:picLocks noChangeAspect="1"/>
        </xdr:cNvPicPr>
      </xdr:nvPicPr>
      <xdr:blipFill>
        <a:blip xmlns:r="http://schemas.openxmlformats.org/officeDocument/2006/relationships" r:embed="rId6">
          <a:lum bright="70000" contrast="-70000"/>
          <a:extLst>
            <a:ext uri="{28A0092B-C50C-407E-A947-70E740481C1C}">
              <a14:useLocalDpi xmlns:a14="http://schemas.microsoft.com/office/drawing/2010/main" val="0"/>
            </a:ext>
          </a:extLst>
        </a:blip>
        <a:stretch>
          <a:fillRect/>
        </a:stretch>
      </xdr:blipFill>
      <xdr:spPr>
        <a:xfrm>
          <a:off x="10858500" y="1650922"/>
          <a:ext cx="1301750" cy="1301750"/>
        </a:xfrm>
        <a:prstGeom prst="rect">
          <a:avLst/>
        </a:prstGeom>
      </xdr:spPr>
    </xdr:pic>
    <xdr:clientData/>
  </xdr:twoCellAnchor>
  <xdr:twoCellAnchor editAs="oneCell">
    <xdr:from>
      <xdr:col>12</xdr:col>
      <xdr:colOff>381000</xdr:colOff>
      <xdr:row>8</xdr:row>
      <xdr:rowOff>158750</xdr:rowOff>
    </xdr:from>
    <xdr:to>
      <xdr:col>14</xdr:col>
      <xdr:colOff>406350</xdr:colOff>
      <xdr:row>15</xdr:row>
      <xdr:rowOff>57100</xdr:rowOff>
    </xdr:to>
    <xdr:pic>
      <xdr:nvPicPr>
        <xdr:cNvPr id="42" name="Picture 41">
          <a:extLst>
            <a:ext uri="{FF2B5EF4-FFF2-40B4-BE49-F238E27FC236}">
              <a16:creationId xmlns:a16="http://schemas.microsoft.com/office/drawing/2014/main" id="{02F3B225-955F-D713-DE7E-51CD84E4E352}"/>
            </a:ext>
          </a:extLst>
        </xdr:cNvPr>
        <xdr:cNvPicPr>
          <a:picLocks noChangeAspect="1"/>
        </xdr:cNvPicPr>
      </xdr:nvPicPr>
      <xdr:blipFill>
        <a:blip xmlns:r="http://schemas.openxmlformats.org/officeDocument/2006/relationships" r:embed="rId7">
          <a:lum bright="70000" contrast="-70000"/>
          <a:extLst>
            <a:ext uri="{28A0092B-C50C-407E-A947-70E740481C1C}">
              <a14:useLocalDpi xmlns:a14="http://schemas.microsoft.com/office/drawing/2010/main" val="0"/>
            </a:ext>
          </a:extLst>
        </a:blip>
        <a:stretch>
          <a:fillRect/>
        </a:stretch>
      </xdr:blipFill>
      <xdr:spPr>
        <a:xfrm>
          <a:off x="7620000" y="1682750"/>
          <a:ext cx="1231850" cy="1231850"/>
        </a:xfrm>
        <a:prstGeom prst="rect">
          <a:avLst/>
        </a:prstGeom>
      </xdr:spPr>
    </xdr:pic>
    <xdr:clientData/>
  </xdr:twoCellAnchor>
  <xdr:twoCellAnchor editAs="oneCell">
    <xdr:from>
      <xdr:col>1</xdr:col>
      <xdr:colOff>31750</xdr:colOff>
      <xdr:row>0</xdr:row>
      <xdr:rowOff>0</xdr:rowOff>
    </xdr:from>
    <xdr:to>
      <xdr:col>4</xdr:col>
      <xdr:colOff>127000</xdr:colOff>
      <xdr:row>10</xdr:row>
      <xdr:rowOff>0</xdr:rowOff>
    </xdr:to>
    <xdr:pic>
      <xdr:nvPicPr>
        <xdr:cNvPr id="50" name="Picture 49">
          <a:extLst>
            <a:ext uri="{FF2B5EF4-FFF2-40B4-BE49-F238E27FC236}">
              <a16:creationId xmlns:a16="http://schemas.microsoft.com/office/drawing/2014/main" id="{9B211D13-153D-A3D1-B03D-3291A1F809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35000" y="0"/>
          <a:ext cx="1905000" cy="1905000"/>
        </a:xfrm>
        <a:prstGeom prst="rect">
          <a:avLst/>
        </a:prstGeom>
      </xdr:spPr>
    </xdr:pic>
    <xdr:clientData/>
  </xdr:twoCellAnchor>
  <xdr:twoCellAnchor>
    <xdr:from>
      <xdr:col>7</xdr:col>
      <xdr:colOff>304800</xdr:colOff>
      <xdr:row>0</xdr:row>
      <xdr:rowOff>146050</xdr:rowOff>
    </xdr:from>
    <xdr:to>
      <xdr:col>23</xdr:col>
      <xdr:colOff>222250</xdr:colOff>
      <xdr:row>4</xdr:row>
      <xdr:rowOff>0</xdr:rowOff>
    </xdr:to>
    <xdr:sp macro="" textlink="">
      <xdr:nvSpPr>
        <xdr:cNvPr id="51" name="TextBox 50">
          <a:extLst>
            <a:ext uri="{FF2B5EF4-FFF2-40B4-BE49-F238E27FC236}">
              <a16:creationId xmlns:a16="http://schemas.microsoft.com/office/drawing/2014/main" id="{E17D8CEE-9C5C-4DA5-88DE-316D84F4454D}"/>
            </a:ext>
          </a:extLst>
        </xdr:cNvPr>
        <xdr:cNvSpPr txBox="1"/>
      </xdr:nvSpPr>
      <xdr:spPr>
        <a:xfrm>
          <a:off x="4527550" y="146050"/>
          <a:ext cx="9569450" cy="61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a:solidFill>
                <a:schemeClr val="bg1"/>
              </a:solidFill>
            </a:rPr>
            <a:t>Metro Bank: Summary Of Complaints &amp; Risk Insights</a:t>
          </a:r>
          <a:endParaRPr lang="en-NG" sz="3200">
            <a:solidFill>
              <a:schemeClr val="bg1"/>
            </a:solidFill>
          </a:endParaRPr>
        </a:p>
      </xdr:txBody>
    </xdr:sp>
    <xdr:clientData/>
  </xdr:twoCellAnchor>
  <xdr:twoCellAnchor editAs="oneCell">
    <xdr:from>
      <xdr:col>1</xdr:col>
      <xdr:colOff>190500</xdr:colOff>
      <xdr:row>68</xdr:row>
      <xdr:rowOff>95250</xdr:rowOff>
    </xdr:from>
    <xdr:to>
      <xdr:col>3</xdr:col>
      <xdr:colOff>317421</xdr:colOff>
      <xdr:row>75</xdr:row>
      <xdr:rowOff>95171</xdr:rowOff>
    </xdr:to>
    <xdr:pic>
      <xdr:nvPicPr>
        <xdr:cNvPr id="53" name="Picture 52">
          <a:extLst>
            <a:ext uri="{FF2B5EF4-FFF2-40B4-BE49-F238E27FC236}">
              <a16:creationId xmlns:a16="http://schemas.microsoft.com/office/drawing/2014/main" id="{E170863D-A10C-8166-72F5-CBB3751F0DF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93750" y="13049250"/>
          <a:ext cx="1333421" cy="1333421"/>
        </a:xfrm>
        <a:prstGeom prst="rect">
          <a:avLst/>
        </a:prstGeom>
      </xdr:spPr>
    </xdr:pic>
    <xdr:clientData/>
  </xdr:twoCellAnchor>
  <xdr:twoCellAnchor editAs="oneCell">
    <xdr:from>
      <xdr:col>1</xdr:col>
      <xdr:colOff>127000</xdr:colOff>
      <xdr:row>75</xdr:row>
      <xdr:rowOff>31672</xdr:rowOff>
    </xdr:from>
    <xdr:to>
      <xdr:col>3</xdr:col>
      <xdr:colOff>349250</xdr:colOff>
      <xdr:row>82</xdr:row>
      <xdr:rowOff>126922</xdr:rowOff>
    </xdr:to>
    <xdr:pic>
      <xdr:nvPicPr>
        <xdr:cNvPr id="55" name="Picture 54">
          <a:extLst>
            <a:ext uri="{FF2B5EF4-FFF2-40B4-BE49-F238E27FC236}">
              <a16:creationId xmlns:a16="http://schemas.microsoft.com/office/drawing/2014/main" id="{7D80121C-533B-DD02-82B6-537327BA3BF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30250" y="14319172"/>
          <a:ext cx="1428750" cy="1428750"/>
        </a:xfrm>
        <a:prstGeom prst="rect">
          <a:avLst/>
        </a:prstGeom>
      </xdr:spPr>
    </xdr:pic>
    <xdr:clientData/>
  </xdr:twoCellAnchor>
  <xdr:twoCellAnchor editAs="oneCell">
    <xdr:from>
      <xdr:col>1</xdr:col>
      <xdr:colOff>381001</xdr:colOff>
      <xdr:row>43</xdr:row>
      <xdr:rowOff>190341</xdr:rowOff>
    </xdr:from>
    <xdr:to>
      <xdr:col>3</xdr:col>
      <xdr:colOff>254001</xdr:colOff>
      <xdr:row>49</xdr:row>
      <xdr:rowOff>126841</xdr:rowOff>
    </xdr:to>
    <xdr:pic>
      <xdr:nvPicPr>
        <xdr:cNvPr id="56" name="Picture 55">
          <a:extLst>
            <a:ext uri="{FF2B5EF4-FFF2-40B4-BE49-F238E27FC236}">
              <a16:creationId xmlns:a16="http://schemas.microsoft.com/office/drawing/2014/main" id="{C94E072C-4B25-AB98-67FA-ABAC00253330}"/>
            </a:ext>
          </a:extLst>
        </xdr:cNvPr>
        <xdr:cNvPicPr>
          <a:picLocks noChangeAspect="1"/>
        </xdr:cNvPicPr>
      </xdr:nvPicPr>
      <xdr:blipFill>
        <a:blip xmlns:r="http://schemas.openxmlformats.org/officeDocument/2006/relationships" r:embed="rId11">
          <a:lum bright="70000" contrast="-70000"/>
          <a:extLst>
            <a:ext uri="{28A0092B-C50C-407E-A947-70E740481C1C}">
              <a14:useLocalDpi xmlns:a14="http://schemas.microsoft.com/office/drawing/2010/main" val="0"/>
            </a:ext>
          </a:extLst>
        </a:blip>
        <a:stretch>
          <a:fillRect/>
        </a:stretch>
      </xdr:blipFill>
      <xdr:spPr>
        <a:xfrm>
          <a:off x="984251" y="8381841"/>
          <a:ext cx="1079500" cy="1079500"/>
        </a:xfrm>
        <a:prstGeom prst="rect">
          <a:avLst/>
        </a:prstGeom>
      </xdr:spPr>
    </xdr:pic>
    <xdr:clientData/>
  </xdr:twoCellAnchor>
  <xdr:twoCellAnchor editAs="oneCell">
    <xdr:from>
      <xdr:col>1</xdr:col>
      <xdr:colOff>317500</xdr:colOff>
      <xdr:row>36</xdr:row>
      <xdr:rowOff>127000</xdr:rowOff>
    </xdr:from>
    <xdr:to>
      <xdr:col>3</xdr:col>
      <xdr:colOff>380841</xdr:colOff>
      <xdr:row>43</xdr:row>
      <xdr:rowOff>63341</xdr:rowOff>
    </xdr:to>
    <xdr:pic>
      <xdr:nvPicPr>
        <xdr:cNvPr id="57" name="Picture 56">
          <a:extLst>
            <a:ext uri="{FF2B5EF4-FFF2-40B4-BE49-F238E27FC236}">
              <a16:creationId xmlns:a16="http://schemas.microsoft.com/office/drawing/2014/main" id="{0A936BDD-5B85-EE47-429D-909BE877FD9F}"/>
            </a:ext>
          </a:extLst>
        </xdr:cNvPr>
        <xdr:cNvPicPr>
          <a:picLocks noChangeAspect="1"/>
        </xdr:cNvPicPr>
      </xdr:nvPicPr>
      <xdr:blipFill>
        <a:blip xmlns:r="http://schemas.openxmlformats.org/officeDocument/2006/relationships" r:embed="rId12">
          <a:lum bright="70000" contrast="-70000"/>
          <a:extLst>
            <a:ext uri="{28A0092B-C50C-407E-A947-70E740481C1C}">
              <a14:useLocalDpi xmlns:a14="http://schemas.microsoft.com/office/drawing/2010/main" val="0"/>
            </a:ext>
          </a:extLst>
        </a:blip>
        <a:stretch>
          <a:fillRect/>
        </a:stretch>
      </xdr:blipFill>
      <xdr:spPr>
        <a:xfrm>
          <a:off x="920750" y="6985000"/>
          <a:ext cx="1269841" cy="1269841"/>
        </a:xfrm>
        <a:prstGeom prst="rect">
          <a:avLst/>
        </a:prstGeom>
      </xdr:spPr>
    </xdr:pic>
    <xdr:clientData/>
  </xdr:twoCellAnchor>
  <xdr:twoCellAnchor editAs="oneCell">
    <xdr:from>
      <xdr:col>1</xdr:col>
      <xdr:colOff>539750</xdr:colOff>
      <xdr:row>31</xdr:row>
      <xdr:rowOff>38024</xdr:rowOff>
    </xdr:from>
    <xdr:to>
      <xdr:col>3</xdr:col>
      <xdr:colOff>254000</xdr:colOff>
      <xdr:row>36</xdr:row>
      <xdr:rowOff>6274</xdr:rowOff>
    </xdr:to>
    <xdr:pic>
      <xdr:nvPicPr>
        <xdr:cNvPr id="58" name="Picture 57">
          <a:extLst>
            <a:ext uri="{FF2B5EF4-FFF2-40B4-BE49-F238E27FC236}">
              <a16:creationId xmlns:a16="http://schemas.microsoft.com/office/drawing/2014/main" id="{A065E254-2266-FAFC-32B0-CC192BCB4FA8}"/>
            </a:ext>
          </a:extLst>
        </xdr:cNvPr>
        <xdr:cNvPicPr>
          <a:picLocks noChangeAspect="1"/>
        </xdr:cNvPicPr>
      </xdr:nvPicPr>
      <xdr:blipFill>
        <a:blip xmlns:r="http://schemas.openxmlformats.org/officeDocument/2006/relationships" r:embed="rId13">
          <a:lum bright="70000" contrast="-70000"/>
          <a:extLst>
            <a:ext uri="{28A0092B-C50C-407E-A947-70E740481C1C}">
              <a14:useLocalDpi xmlns:a14="http://schemas.microsoft.com/office/drawing/2010/main" val="0"/>
            </a:ext>
          </a:extLst>
        </a:blip>
        <a:stretch>
          <a:fillRect/>
        </a:stretch>
      </xdr:blipFill>
      <xdr:spPr>
        <a:xfrm>
          <a:off x="1143000" y="5943524"/>
          <a:ext cx="920750" cy="920750"/>
        </a:xfrm>
        <a:prstGeom prst="rect">
          <a:avLst/>
        </a:prstGeom>
      </xdr:spPr>
    </xdr:pic>
    <xdr:clientData/>
  </xdr:twoCellAnchor>
</xdr:wsDr>
</file>

<file path=xl/pivotCache/_rels/pivotCacheDefinition4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4930555" backgroundQuery="1" createdVersion="8" refreshedVersion="8" minRefreshableVersion="3" recordCount="0" supportSubquery="1" supportAdvancedDrill="1" xr:uid="{3BF08854-3B57-4BD5-84A6-00D95125CA4F}">
  <cacheSource type="external" connectionId="6"/>
  <cacheFields count="1">
    <cacheField name="[Measures].[Sum of Revenue]" caption="Sum of Revenue" numFmtId="0" hierarchy="64"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oneField="1">
      <fieldsUsage count="1">
        <fieldUsage x="0"/>
      </fieldsUsage>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7013887" backgroundQuery="1" createdVersion="8" refreshedVersion="8" minRefreshableVersion="3" recordCount="0" supportSubquery="1" supportAdvancedDrill="1" xr:uid="{BB11C4C1-DC36-4D2C-B067-90A25C400347}">
  <cacheSource type="external" connectionId="6"/>
  <cacheFields count="5">
    <cacheField name="[Measures].[Count of TransID]" caption="Count of TransID" numFmtId="0" hierarchy="60" level="32767"/>
    <cacheField name="[transactions  3].[Date].[Date]" caption="Date" numFmtId="0" hierarchy="43" level="1">
      <sharedItems containsSemiMixedTypes="0" containsNonDate="0" containsDate="1" containsString="0" minDate="2023-08-23T00:00:00" maxDate="2025-08-23T00:00:00" count="728">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sharedItems>
    </cacheField>
    <cacheField name="[transactions  3].[Date (Month)].[Date (Month)]" caption="Date (Month)" numFmtId="0" hierarchy="50" level="1">
      <sharedItems count="12">
        <s v="Aug"/>
        <s v="Sep"/>
        <s v="Oct"/>
        <s v="Nov"/>
        <s v="Dec"/>
        <s v="Jan"/>
        <s v="Feb"/>
        <s v="Mar"/>
        <s v="Apr"/>
        <s v="May"/>
        <s v="Jun"/>
        <s v="Jul"/>
      </sharedItems>
    </cacheField>
    <cacheField name="[transactions  3].[Date (Quarter)].[Date (Quarter)]" caption="Date (Quarter)" numFmtId="0" hierarchy="49" level="1">
      <sharedItems count="4">
        <s v="Qtr3"/>
        <s v="Qtr4"/>
        <s v="Qtr1"/>
        <s v="Qtr2"/>
      </sharedItems>
    </cacheField>
    <cacheField name="[transactions  3].[Date (Year)].[Date (Year)]" caption="Date (Year)" numFmtId="0" hierarchy="48" level="1">
      <sharedItems count="3">
        <s v="2023"/>
        <s v="2024"/>
        <s v="2025"/>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2" memberValueDatatype="7" unbalanced="0">
      <fieldsUsage count="2">
        <fieldUsage x="-1"/>
        <fieldUsage x="1"/>
      </fieldsUsage>
    </cacheHierarchy>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2" memberValueDatatype="130" unbalanced="0">
      <fieldsUsage count="2">
        <fieldUsage x="-1"/>
        <fieldUsage x="4"/>
      </fieldsUsage>
    </cacheHierarchy>
    <cacheHierarchy uniqueName="[transactions  3].[Date (Quarter)]" caption="Date (Quarter)" attribute="1" defaultMemberUniqueName="[transactions  3].[Date (Quarter)].[All]" allUniqueName="[transactions  3].[Date (Quarter)].[All]" dimensionUniqueName="[transactions  3]" displayFolder="" count="2" memberValueDatatype="130" unbalanced="0">
      <fieldsUsage count="2">
        <fieldUsage x="-1"/>
        <fieldUsage x="3"/>
      </fieldsUsage>
    </cacheHierarchy>
    <cacheHierarchy uniqueName="[transactions  3].[Date (Month)]" caption="Date (Month)" attribute="1" defaultMemberUniqueName="[transactions  3].[Date (Month)].[All]" allUniqueName="[transactions  3].[Date (Month)].[All]" dimensionUniqueName="[transactions  3]" displayFolder="" count="2" memberValueDatatype="130" unbalanced="0">
      <fieldsUsage count="2">
        <fieldUsage x="-1"/>
        <fieldUsage x="2"/>
      </fieldsUsage>
    </cacheHierarchy>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8750003" backgroundQuery="1" createdVersion="8" refreshedVersion="8" minRefreshableVersion="3" recordCount="0" supportSubquery="1" supportAdvancedDrill="1" xr:uid="{589DD167-7CE0-4139-AD8F-842E7B9D2BE1}">
  <cacheSource type="external" connectionId="6"/>
  <cacheFields count="2">
    <cacheField name="[Measures].[Count of TransID]" caption="Count of TransID" numFmtId="0" hierarchy="60" level="32767"/>
    <cacheField name="[transactions  3].[Merchant].[Merchant]" caption="Merchant" numFmtId="0" hierarchy="47" level="1">
      <sharedItems count="5">
        <s v="Airbnb"/>
        <s v="Apple"/>
        <s v="LocalStore"/>
        <s v="Shell"/>
        <s v="Uber"/>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2" memberValueDatatype="130" unbalanced="0">
      <fieldsUsage count="2">
        <fieldUsage x="-1"/>
        <fieldUsage x="1"/>
      </fieldsUsage>
    </cacheHierarchy>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74537038" backgroundQuery="1" createdVersion="8" refreshedVersion="8" minRefreshableVersion="3" recordCount="0" supportSubquery="1" supportAdvancedDrill="1" xr:uid="{D4B63580-4659-45F6-A5AC-31111B1700AF}">
  <cacheSource type="external" connectionId="6"/>
  <cacheFields count="1">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0"/>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7662037" backgroundQuery="1" createdVersion="8" refreshedVersion="8" minRefreshableVersion="3" recordCount="0" supportSubquery="1" supportAdvancedDrill="1" xr:uid="{404D947D-839C-4699-BAED-42414DF9B876}">
  <cacheSource type="external" connectionId="6"/>
  <cacheFields count="3">
    <cacheField name="[branches x].[BranchID].[BranchID]" caption="BranchID" numFmtId="0" hierarchy="12" level="1">
      <sharedItems count="20">
        <s v="BR001"/>
        <s v="BR002"/>
        <s v="BR003"/>
        <s v="BR004"/>
        <s v="BR005"/>
        <s v="BR006"/>
        <s v="BR007"/>
        <s v="BR008"/>
        <s v="BR009"/>
        <s v="BR010"/>
        <s v="BR011"/>
        <s v="BR012"/>
        <s v="BR013"/>
        <s v="BR014"/>
        <s v="BR015"/>
        <s v="BR016"/>
        <s v="BR017"/>
        <s v="BR018"/>
        <s v="BR019"/>
        <s v="BR020"/>
      </sharedItems>
    </cacheField>
    <cacheField name="[Measures].[Sum of Revenue]" caption="Sum of Revenue" numFmtId="0" hierarchy="64" level="32767"/>
    <cacheField name="[branches x].[City].[City]" caption="City" numFmtId="0" hierarchy="14" level="1">
      <sharedItems count="5">
        <s v="Javiertown"/>
        <s v="Lisaville"/>
        <s v="Michaeltown"/>
        <s v="North Daniel"/>
        <s v="Robertaport"/>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2" memberValueDatatype="130" unbalanced="0">
      <fieldsUsage count="2">
        <fieldUsage x="-1"/>
        <fieldUsage x="0"/>
      </fieldsUsage>
    </cacheHierarchy>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2"/>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oneField="1">
      <fieldsUsage count="1">
        <fieldUsage x="1"/>
      </fieldsUsage>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159722" backgroundQuery="1" createdVersion="8" refreshedVersion="8" minRefreshableVersion="3" recordCount="0" supportSubquery="1" supportAdvancedDrill="1" xr:uid="{7C7664AE-2A03-49C3-97B7-9D7D0E6C8143}">
  <cacheSource type="external" connectionId="6"/>
  <cacheFields count="2">
    <cacheField name="[branches x].[City].[City]" caption="City" numFmtId="0" hierarchy="14" level="1">
      <sharedItems count="5">
        <s v="Caldwellburgh"/>
        <s v="Lisaville"/>
        <s v="Michaeltown"/>
        <s v="North Daniel"/>
        <s v="Robertaport"/>
      </sharedItems>
    </cacheField>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1"/>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2986113" backgroundQuery="1" createdVersion="8" refreshedVersion="8" minRefreshableVersion="3" recordCount="0" supportSubquery="1" supportAdvancedDrill="1" xr:uid="{D11DCC6A-36DD-4C55-A279-4CA54BE2C51A}">
  <cacheSource type="external" connectionId="6"/>
  <cacheFields count="1">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0"/>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6458331" backgroundQuery="1" createdVersion="8" refreshedVersion="8" minRefreshableVersion="3" recordCount="0" supportSubquery="1" supportAdvancedDrill="1" xr:uid="{4711FC83-9A37-4645-BD1C-F261A62612C4}">
  <cacheSource type="external" connectionId="6"/>
  <cacheFields count="2">
    <cacheField name="[transactions  3].[Transaction_Type].[Transaction_Type]" caption="Transaction_Type" numFmtId="0" hierarchy="44" level="1">
      <sharedItems count="4">
        <s v="Deposit"/>
        <s v="Payment"/>
        <s v="Transfer"/>
        <s v="Withdrawal"/>
      </sharedItems>
    </cacheField>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2" memberValueDatatype="130" unbalanced="0">
      <fieldsUsage count="2">
        <fieldUsage x="-1"/>
        <fieldUsage x="0"/>
      </fieldsUsage>
    </cacheHierarchy>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9351855" backgroundQuery="1" createdVersion="8" refreshedVersion="8" minRefreshableVersion="3" recordCount="0" supportSubquery="1" supportAdvancedDrill="1" xr:uid="{D71B9267-C9DF-439E-91E8-7B61E7DBD4AF}">
  <cacheSource type="external" connectionId="6"/>
  <cacheFields count="1">
    <cacheField name="[Measures].[Sum of Staff_Count]" caption="Sum of Staff_Count" numFmtId="0" hierarchy="67"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oneField="1">
      <fieldsUsage count="1">
        <fieldUsage x="0"/>
      </fieldsUsage>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1898149" backgroundQuery="1" createdVersion="8" refreshedVersion="8" minRefreshableVersion="3" recordCount="0" supportSubquery="1" supportAdvancedDrill="1" xr:uid="{D5E1E271-9AF2-40B0-B336-DFBB85887A83}">
  <cacheSource type="external" connectionId="6"/>
  <cacheFields count="1">
    <cacheField name="[Measures].[Average of Amount]" caption="Average of Amount" numFmtId="0" hierarchy="62"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oneField="1">
      <fieldsUsage count="1">
        <fieldUsage x="0"/>
      </fieldsUsage>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4560182" backgroundQuery="1" createdVersion="8" refreshedVersion="8" minRefreshableVersion="3" recordCount="0" supportSubquery="1" supportAdvancedDrill="1" xr:uid="{0249E3EB-C3FB-469B-9F6A-D1D91F0F88B4}">
  <cacheSource type="external" connectionId="6"/>
  <cacheFields count="2">
    <cacheField name="[branches x].[Region].[Region]" caption="Region" numFmtId="0" hierarchy="13" level="1">
      <sharedItems count="4">
        <s v="East"/>
        <s v="North"/>
        <s v="South"/>
        <s v="West"/>
      </sharedItems>
    </cacheField>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2" memberValueDatatype="130" unbalanced="0">
      <fieldsUsage count="2">
        <fieldUsage x="-1"/>
        <fieldUsage x="0"/>
      </fieldsUsage>
    </cacheHierarchy>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1"/>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6296299" backgroundQuery="1" createdVersion="8" refreshedVersion="8" minRefreshableVersion="3" recordCount="0" supportSubquery="1" supportAdvancedDrill="1" xr:uid="{1CAE1AFA-68F1-4C2D-857F-71D0846E2C42}">
  <cacheSource type="external" connectionId="6"/>
  <cacheFields count="1">
    <cacheField name="[Measures].[Sum of Operating_Cost]" caption="Sum of Operating_Cost" numFmtId="0" hierarchy="65"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7916669" backgroundQuery="1" createdVersion="8" refreshedVersion="8" minRefreshableVersion="3" recordCount="0" supportSubquery="1" supportAdvancedDrill="1" xr:uid="{27370433-D386-416D-89BC-FB622857EFA3}">
  <cacheSource type="external" connectionId="6"/>
  <cacheFields count="2">
    <cacheField name="[branches x].[City].[City]" caption="City" numFmtId="0" hierarchy="14" level="1">
      <sharedItems count="20">
        <s v="Brittanyland"/>
        <s v="Caldwellburgh"/>
        <s v="Carterstad"/>
        <s v="Hurleyview"/>
        <s v="Javiertown"/>
        <s v="Lake Lynnton"/>
        <s v="Leahtown"/>
        <s v="Lisaville"/>
        <s v="Michaeltown"/>
        <s v="New Adrienne"/>
        <s v="North Daniel"/>
        <s v="Petersonport"/>
        <s v="Port Michaelhaven"/>
        <s v="Robertaport"/>
        <s v="Simonland"/>
        <s v="South Andrew"/>
        <s v="Stevenfurt"/>
        <s v="West Linda"/>
        <s v="West Loganmouth"/>
        <s v="West Robert"/>
      </sharedItems>
    </cacheField>
    <cacheField name="[Measures].[Sum of Operating_Cost]" caption="Sum of Operating_Cost" numFmtId="0" hierarchy="65"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02430557" backgroundQuery="1" createdVersion="8" refreshedVersion="8" minRefreshableVersion="3" recordCount="0" supportSubquery="1" supportAdvancedDrill="1" xr:uid="{21D11F34-4CBA-4D5B-9258-70DB3782E200}">
  <cacheSource type="external" connectionId="6"/>
  <cacheFields count="1">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04745373" backgroundQuery="1" createdVersion="8" refreshedVersion="8" minRefreshableVersion="3" recordCount="0" supportSubquery="1" supportAdvancedDrill="1" xr:uid="{332BD4D3-7E97-47D8-8519-3DFA9BEB7807}">
  <cacheSource type="external" connectionId="6"/>
  <cacheFields count="2">
    <cacheField name="[transactions  3].[Channel].[Channel]" caption="Channel" numFmtId="0" hierarchy="46" level="1">
      <sharedItems count="4">
        <s v="ATM"/>
        <s v="Branch"/>
        <s v="Online"/>
        <s v="POS"/>
      </sharedItems>
    </cacheField>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2" memberValueDatatype="130" unbalanced="0">
      <fieldsUsage count="2">
        <fieldUsage x="-1"/>
        <fieldUsage x="0"/>
      </fieldsUsage>
    </cacheHierarchy>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2453701" backgroundQuery="1" createdVersion="8" refreshedVersion="8" minRefreshableVersion="3" recordCount="0" supportSubquery="1" supportAdvancedDrill="1" xr:uid="{13813BE5-1AEC-4F0C-A5AE-FB9FCFBC9A93}">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4074071" backgroundQuery="1" createdVersion="8" refreshedVersion="8" minRefreshableVersion="3" recordCount="0" supportSubquery="1" supportAdvancedDrill="1" xr:uid="{E1404620-47F1-4D34-982B-F47C560159A9}">
  <cacheSource type="external" connectionId="6"/>
  <cacheFields count="3">
    <cacheField name="[branches x].[City].[City]" caption="City" numFmtId="0" hierarchy="14" level="1">
      <sharedItems count="20">
        <s v="Brittanyland"/>
        <s v="Caldwellburgh"/>
        <s v="Carterstad"/>
        <s v="Hurleyview"/>
        <s v="Javiertown"/>
        <s v="Lake Lynnton"/>
        <s v="Leahtown"/>
        <s v="Lisaville"/>
        <s v="Michaeltown"/>
        <s v="New Adrienne"/>
        <s v="North Daniel"/>
        <s v="Petersonport"/>
        <s v="Port Michaelhaven"/>
        <s v="Robertaport"/>
        <s v="Simonland"/>
        <s v="South Andrew"/>
        <s v="Stevenfurt"/>
        <s v="West Linda"/>
        <s v="West Loganmouth"/>
        <s v="West Robert"/>
      </sharedItems>
    </cacheField>
    <cacheField name="[Measures].[Sum of Staff_Count]" caption="Sum of Staff_Count" numFmtId="0" hierarchy="67" level="32767"/>
    <cacheField name="[Measures].[RPS]" caption="RPS" numFmtId="0" hierarchy="7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oneField="1">
      <fieldsUsage count="1">
        <fieldUsage x="1"/>
      </fieldsUsage>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oneField="1">
      <fieldsUsage count="1">
        <fieldUsage x="2"/>
      </fieldsUsage>
    </cacheHierarchy>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5925926" backgroundQuery="1" createdVersion="8" refreshedVersion="8" minRefreshableVersion="3" recordCount="0" supportSubquery="1" supportAdvancedDrill="1" xr:uid="{43BA58F7-C855-4852-B58E-D6E95082B03D}">
  <cacheSource type="external" connectionId="6"/>
  <cacheFields count="2">
    <cacheField name="[accounts  2].[Loan_Status].[Loan_Status]" caption="Loan_Status" numFmtId="0" hierarchy="7" level="1">
      <sharedItems count="2">
        <s v="Approved"/>
        <s v="Rejected"/>
      </sharedItems>
    </cacheField>
    <cacheField name="[Measures].[Sum of Loan_Amount]" caption="Sum of Loan_Amount" numFmtId="0" hierarchy="5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oneField="1">
      <fieldsUsage count="1">
        <fieldUsage x="1"/>
      </fieldsUsage>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7546296" backgroundQuery="1" createdVersion="8" refreshedVersion="8" minRefreshableVersion="3" recordCount="0" supportSubquery="1" supportAdvancedDrill="1" xr:uid="{20897B8B-D4DC-454A-B01A-6A8365E32B9F}">
  <cacheSource type="external" connectionId="6"/>
  <cacheFields count="2">
    <cacheField name="[Measures].[Count of AccountID]" caption="Count of AccountID" numFmtId="0" hierarchy="55" level="32767"/>
    <cacheField name="[accounts  2].[Open_Date (Year)].[Open_Date (Year)]" caption="Open_Date (Year)" numFmtId="0" hierarchy="9" level="1">
      <sharedItems count="11">
        <s v="2015"/>
        <s v="2016"/>
        <s v="2017"/>
        <s v="2018"/>
        <s v="2019"/>
        <s v="2020"/>
        <s v="2021"/>
        <s v="2022"/>
        <s v="2023"/>
        <s v="2024"/>
        <s v="2025"/>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1"/>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0324075" backgroundQuery="1" createdVersion="8" refreshedVersion="8" minRefreshableVersion="3" recordCount="0" supportSubquery="1" supportAdvancedDrill="1" xr:uid="{896B66A1-986D-44A1-BEE8-CB254A127FAB}">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Average of Amount]" caption="Average of Amount" numFmtId="0" hierarchy="62"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2754631" backgroundQuery="1" createdVersion="8" refreshedVersion="8" minRefreshableVersion="3" recordCount="0" supportSubquery="1" supportAdvancedDrill="1" xr:uid="{88BF3BE2-EFF3-4EE0-BA12-950053F77C35}">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5532409" backgroundQuery="1" createdVersion="8" refreshedVersion="8" minRefreshableVersion="3" recordCount="0" supportSubquery="1" supportAdvancedDrill="1" xr:uid="{8FBA4DC1-5864-431C-A46A-80C1008D011A}">
  <cacheSource type="external" connectionId="6"/>
  <cacheFields count="3">
    <cacheField name="[accounts  2].[credit only].[credit only]" caption="credit only" numFmtId="0" hierarchy="8" level="1">
      <sharedItems count="2">
        <s v="No"/>
        <s v="Yes"/>
      </sharedItems>
    </cacheField>
    <cacheField name="[Measures].[Count of TransID]" caption="Count of TransID" numFmtId="0" hierarchy="60" level="32767"/>
    <cacheField name="[transactions  3].[Transaction_Type].[Transaction_Type]" caption="Transaction_Type" numFmtId="0" hierarchy="44" level="1">
      <sharedItems count="4">
        <s v="Deposit"/>
        <s v="Payment"/>
        <s v="Transfer"/>
        <s v="Withdrawal"/>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2" memberValueDatatype="130" unbalanced="0">
      <fieldsUsage count="2">
        <fieldUsage x="-1"/>
        <fieldUsage x="0"/>
      </fieldsUsage>
    </cacheHierarchy>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2" memberValueDatatype="130" unbalanced="0">
      <fieldsUsage count="2">
        <fieldUsage x="-1"/>
        <fieldUsage x="2"/>
      </fieldsUsage>
    </cacheHierarchy>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8425927" backgroundQuery="1" createdVersion="8" refreshedVersion="8" minRefreshableVersion="3" recordCount="0" supportSubquery="1" supportAdvancedDrill="1" xr:uid="{22111921-620E-452D-BBF9-D4A670569049}">
  <cacheSource type="external" connectionId="6"/>
  <cacheFields count="2">
    <cacheField name="[Table2_1].[Customer_Segment].[Customer_Segment]" caption="Customer_Segment" numFmtId="0" hierarchy="36" level="1">
      <sharedItems count="3">
        <s v="Corporate"/>
        <s v="Private"/>
        <s v="Retail"/>
      </sharedItems>
    </cacheField>
    <cacheField name="[Measures].[Average of Balance]" caption="Average of Balance" numFmtId="0" hierarchy="59"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0"/>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0624998" backgroundQuery="1" createdVersion="8" refreshedVersion="8" minRefreshableVersion="3" recordCount="0" supportSubquery="1" supportAdvancedDrill="1" xr:uid="{0D8569F8-E895-4A2F-8223-7914110F7C8E}">
  <cacheSource type="external" connectionId="6"/>
  <cacheFields count="3">
    <cacheField name="[Table2_1].[Age group].[Age group]" caption="Age group" numFmtId="0" hierarchy="31" level="1">
      <sharedItems count="4">
        <s v="Boomers"/>
        <s v="Gen X"/>
        <s v="Gen Z"/>
        <s v="Millennials"/>
      </sharedItems>
    </cacheField>
    <cacheField name="[Measures].[Average of Balance]" caption="Average of Balance" numFmtId="0" hierarchy="59"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0"/>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2245368" backgroundQuery="1" createdVersion="8" refreshedVersion="8" minRefreshableVersion="3" recordCount="0" supportSubquery="1" supportAdvancedDrill="1" xr:uid="{1F9A54D9-C2AB-4035-B03F-E74A6B3D805D}">
  <cacheSource type="external" connectionId="6"/>
  <cacheFields count="3">
    <cacheField name="[accounts  2].[Account_Type].[Account_Type]" caption="Account_Type" numFmtId="0" hierarchy="2" level="1">
      <sharedItems count="4">
        <s v="Checking"/>
        <s v="CreditCard"/>
        <s v="Loan"/>
        <s v="Savings"/>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1"/>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3865738" backgroundQuery="1" createdVersion="8" refreshedVersion="8" minRefreshableVersion="3" recordCount="0" supportSubquery="1" supportAdvancedDrill="1" xr:uid="{BB17DB0E-5285-4113-B4A7-70C0B7EE6419}">
  <cacheSource type="external" connectionId="6"/>
  <cacheFields count="3">
    <cacheField name="[accounts  2].[Account_Type].[Account_Type]" caption="Account_Type" numFmtId="0" hierarchy="2" level="1">
      <sharedItems count="4">
        <s v="Checking"/>
        <s v="CreditCard"/>
        <s v="Loan"/>
        <s v="Savings"/>
      </sharedItems>
    </cacheField>
    <cacheField name="[Measures].[Sum of Balance]" caption="Sum of Balance" numFmtId="0" hierarchy="54"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6759263" backgroundQuery="1" createdVersion="8" refreshedVersion="8" minRefreshableVersion="3" recordCount="0" supportSubquery="1" supportAdvancedDrill="1" xr:uid="{A617F53D-3C6D-438D-95D4-93356969A390}">
  <cacheSource type="external" connectionId="6"/>
  <cacheFields count="3">
    <cacheField name="[accounts  2].[Loan_Status].[Loan_Status]" caption="Loan_Status" numFmtId="0" hierarchy="7" level="1">
      <sharedItems count="4">
        <s v=""/>
        <s v="Approved"/>
        <s v="Default"/>
        <s v="Rejected"/>
      </sharedItems>
    </cacheField>
    <cacheField name="[Measures].[Sum of Loan_Amount]" caption="Sum of Loan_Amount" numFmtId="0" hierarchy="56"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oneField="1">
      <fieldsUsage count="1">
        <fieldUsage x="1"/>
      </fieldsUsage>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9768519" backgroundQuery="1" createdVersion="8" refreshedVersion="8" minRefreshableVersion="3" recordCount="0" supportSubquery="1" supportAdvancedDrill="1" xr:uid="{3AA88488-DFEE-476F-B61F-DBDBCCFA0CA3}">
  <cacheSource type="external" connectionId="6"/>
  <cacheFields count="2">
    <cacheField name="[Measures].[Average of Credit_Score]" caption="Average of Credit_Score" numFmtId="0" hierarchy="58"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oneField="1">
      <fieldsUsage count="1">
        <fieldUsage x="0"/>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196759" backgroundQuery="1" createdVersion="8" refreshedVersion="8" minRefreshableVersion="3" recordCount="0" supportSubquery="1" supportAdvancedDrill="1" xr:uid="{12C55976-26CD-4E6E-BC23-CF6405D4DDB4}">
  <cacheSource type="external" connectionId="6"/>
  <cacheFields count="3">
    <cacheField name="[accounts  2].[Account_Type].[Account_Type]" caption="Account_Type" numFmtId="0" hierarchy="2" level="1">
      <sharedItems count="4">
        <s v="Checking"/>
        <s v="CreditCard"/>
        <s v="Loan"/>
        <s v="Savings"/>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1"/>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3819445" backgroundQuery="1" createdVersion="8" refreshedVersion="8" minRefreshableVersion="3" recordCount="0" supportSubquery="1" supportAdvancedDrill="1" xr:uid="{9D5FFA91-0009-43B2-8140-84F7D548783B}">
  <cacheSource type="external" connectionId="6"/>
  <cacheFields count="4">
    <cacheField name="[accounts  2].[CustomerID].[CustomerID]" caption="CustomerID" numFmtId="0" hierarchy="1" level="1">
      <sharedItems count="237">
        <s v="CUST0001"/>
        <s v="CUST0002"/>
        <s v="CUST0008"/>
        <s v="CUST0016"/>
        <s v="CUST0017"/>
        <s v="CUST0019"/>
        <s v="CUST0021"/>
        <s v="CUST0026"/>
        <s v="CUST0028"/>
        <s v="CUST0030"/>
        <s v="CUST0032"/>
        <s v="CUST0035"/>
        <s v="CUST0038"/>
        <s v="CUST0039"/>
        <s v="CUST0041"/>
        <s v="CUST0042"/>
        <s v="CUST0043"/>
        <s v="CUST0044"/>
        <s v="CUST0046"/>
        <s v="CUST0047"/>
        <s v="CUST0049"/>
        <s v="CUST0050"/>
        <s v="CUST0057"/>
        <s v="CUST0059"/>
        <s v="CUST0061"/>
        <s v="CUST0063"/>
        <s v="CUST0065"/>
        <s v="CUST0066"/>
        <s v="CUST0067"/>
        <s v="CUST0068"/>
        <s v="CUST0069"/>
        <s v="CUST0070"/>
        <s v="CUST0072"/>
        <s v="CUST0074"/>
        <s v="CUST0075"/>
        <s v="CUST0076"/>
        <s v="CUST0082"/>
        <s v="CUST0084"/>
        <s v="CUST0086"/>
        <s v="CUST0087"/>
        <s v="CUST0089"/>
        <s v="CUST0090"/>
        <s v="CUST0093"/>
        <s v="CUST0098"/>
        <s v="CUST0100"/>
        <s v="CUST0101"/>
        <s v="CUST0102"/>
        <s v="CUST0106"/>
        <s v="CUST0107"/>
        <s v="CUST0108"/>
        <s v="CUST0109"/>
        <s v="CUST0110"/>
        <s v="CUST0113"/>
        <s v="CUST0116"/>
        <s v="CUST0117"/>
        <s v="CUST0118"/>
        <s v="CUST0120"/>
        <s v="CUST0124"/>
        <s v="CUST0125"/>
        <s v="CUST0127"/>
        <s v="CUST0128"/>
        <s v="CUST0129"/>
        <s v="CUST0131"/>
        <s v="CUST0134"/>
        <s v="CUST0136"/>
        <s v="CUST0137"/>
        <s v="CUST0138"/>
        <s v="CUST0142"/>
        <s v="CUST0143"/>
        <s v="CUST0146"/>
        <s v="CUST0147"/>
        <s v="CUST0148"/>
        <s v="CUST0150"/>
        <s v="CUST0152"/>
        <s v="CUST0153"/>
        <s v="CUST0154"/>
        <s v="CUST0156"/>
        <s v="CUST0158"/>
        <s v="CUST0161"/>
        <s v="CUST0162"/>
        <s v="CUST0163"/>
        <s v="CUST0164"/>
        <s v="CUST0167"/>
        <s v="CUST0168"/>
        <s v="CUST0173"/>
        <s v="CUST0174"/>
        <s v="CUST0176"/>
        <s v="CUST0177"/>
        <s v="CUST0178"/>
        <s v="CUST0182"/>
        <s v="CUST0183"/>
        <s v="CUST0189"/>
        <s v="CUST0190"/>
        <s v="CUST0191"/>
        <s v="CUST0192"/>
        <s v="CUST0196"/>
        <s v="CUST0198"/>
        <s v="CUST0201"/>
        <s v="CUST0203"/>
        <s v="CUST0210"/>
        <s v="CUST0211"/>
        <s v="CUST0213"/>
        <s v="CUST0214"/>
        <s v="CUST0215"/>
        <s v="CUST0216"/>
        <s v="CUST0218"/>
        <s v="CUST0220"/>
        <s v="CUST0225"/>
        <s v="CUST0227"/>
        <s v="CUST0228"/>
        <s v="CUST0232"/>
        <s v="CUST0240"/>
        <s v="CUST0243"/>
        <s v="CUST0245"/>
        <s v="CUST0247"/>
        <s v="CUST0248"/>
        <s v="CUST0250"/>
        <s v="CUST0251"/>
        <s v="CUST0254"/>
        <s v="CUST0255"/>
        <s v="CUST0259"/>
        <s v="CUST0260"/>
        <s v="CUST0262"/>
        <s v="CUST0265"/>
        <s v="CUST0267"/>
        <s v="CUST0268"/>
        <s v="CUST0270"/>
        <s v="CUST0275"/>
        <s v="CUST0276"/>
        <s v="CUST0277"/>
        <s v="CUST0279"/>
        <s v="CUST0281"/>
        <s v="CUST0283"/>
        <s v="CUST0284"/>
        <s v="CUST0286"/>
        <s v="CUST0289"/>
        <s v="CUST0294"/>
        <s v="CUST0295"/>
        <s v="CUST0297"/>
        <s v="CUST0301"/>
        <s v="CUST0302"/>
        <s v="CUST0303"/>
        <s v="CUST0305"/>
        <s v="CUST0307"/>
        <s v="CUST0308"/>
        <s v="CUST0313"/>
        <s v="CUST0314"/>
        <s v="CUST0316"/>
        <s v="CUST0319"/>
        <s v="CUST0320"/>
        <s v="CUST0324"/>
        <s v="CUST0325"/>
        <s v="CUST0327"/>
        <s v="CUST0330"/>
        <s v="CUST0332"/>
        <s v="CUST0333"/>
        <s v="CUST0334"/>
        <s v="CUST0336"/>
        <s v="CUST0338"/>
        <s v="CUST0340"/>
        <s v="CUST0341"/>
        <s v="CUST0342"/>
        <s v="CUST0343"/>
        <s v="CUST0344"/>
        <s v="CUST0347"/>
        <s v="CUST0350"/>
        <s v="CUST0353"/>
        <s v="CUST0354"/>
        <s v="CUST0355"/>
        <s v="CUST0356"/>
        <s v="CUST0361"/>
        <s v="CUST0363"/>
        <s v="CUST0364"/>
        <s v="CUST0365"/>
        <s v="CUST0366"/>
        <s v="CUST0369"/>
        <s v="CUST0372"/>
        <s v="CUST0375"/>
        <s v="CUST0376"/>
        <s v="CUST0380"/>
        <s v="CUST0381"/>
        <s v="CUST0382"/>
        <s v="CUST0383"/>
        <s v="CUST0384"/>
        <s v="CUST0387"/>
        <s v="CUST0391"/>
        <s v="CUST0393"/>
        <s v="CUST0395"/>
        <s v="CUST0399"/>
        <s v="CUST0400"/>
        <s v="CUST0401"/>
        <s v="CUST0403"/>
        <s v="CUST0404"/>
        <s v="CUST0405"/>
        <s v="CUST0406"/>
        <s v="CUST0408"/>
        <s v="CUST0409"/>
        <s v="CUST0412"/>
        <s v="CUST0414"/>
        <s v="CUST0417"/>
        <s v="CUST0418"/>
        <s v="CUST0419"/>
        <s v="CUST0421"/>
        <s v="CUST0422"/>
        <s v="CUST0423"/>
        <s v="CUST0424"/>
        <s v="CUST0425"/>
        <s v="CUST0426"/>
        <s v="CUST0431"/>
        <s v="CUST0432"/>
        <s v="CUST0435"/>
        <s v="CUST0437"/>
        <s v="CUST0439"/>
        <s v="CUST0441"/>
        <s v="CUST0442"/>
        <s v="CUST0443"/>
        <s v="CUST0445"/>
        <s v="CUST0447"/>
        <s v="CUST0450"/>
        <s v="CUST0454"/>
        <s v="CUST0456"/>
        <s v="CUST0461"/>
        <s v="CUST0465"/>
        <s v="CUST0468"/>
        <s v="CUST0469"/>
        <s v="CUST0472"/>
        <s v="CUST0475"/>
        <s v="CUST0476"/>
        <s v="CUST0477"/>
        <s v="CUST0478"/>
        <s v="CUST0485"/>
        <s v="CUST0486"/>
        <s v="CUST0489"/>
        <s v="CUST0492"/>
        <s v="CUST0493"/>
        <s v="CUST0494"/>
        <s v="CUST0500"/>
      </sharedItems>
    </cacheField>
    <cacheField name="[accounts  2].[AccountID].[AccountID]" caption="AccountID" numFmtId="0" level="1">
      <sharedItems count="800">
        <s v="ACC00001"/>
        <s v="ACC00002"/>
        <s v="ACC00003"/>
        <s v="ACC00004"/>
        <s v="ACC00005"/>
        <s v="ACC00006"/>
        <s v="ACC00007"/>
        <s v="ACC00008"/>
        <s v="ACC00009"/>
        <s v="ACC00010"/>
        <s v="ACC00011"/>
        <s v="ACC00012"/>
        <s v="ACC00013"/>
        <s v="ACC00014"/>
        <s v="ACC00015"/>
        <s v="ACC00016"/>
        <s v="ACC00017"/>
        <s v="ACC00018"/>
        <s v="ACC00019"/>
        <s v="ACC00020"/>
        <s v="ACC00021"/>
        <s v="ACC00022"/>
        <s v="ACC00023"/>
        <s v="ACC00024"/>
        <s v="ACC00025"/>
        <s v="ACC00026"/>
        <s v="ACC00027"/>
        <s v="ACC00028"/>
        <s v="ACC00029"/>
        <s v="ACC00030"/>
        <s v="ACC00031"/>
        <s v="ACC00032"/>
        <s v="ACC00033"/>
        <s v="ACC00034"/>
        <s v="ACC00035"/>
        <s v="ACC00036"/>
        <s v="ACC00037"/>
        <s v="ACC00038"/>
        <s v="ACC00039"/>
        <s v="ACC00040"/>
        <s v="ACC00041"/>
        <s v="ACC00042"/>
        <s v="ACC00043"/>
        <s v="ACC00044"/>
        <s v="ACC00045"/>
        <s v="ACC00046"/>
        <s v="ACC00047"/>
        <s v="ACC00048"/>
        <s v="ACC00049"/>
        <s v="ACC00050"/>
        <s v="ACC00051"/>
        <s v="ACC00052"/>
        <s v="ACC00053"/>
        <s v="ACC00054"/>
        <s v="ACC00055"/>
        <s v="ACC00056"/>
        <s v="ACC00057"/>
        <s v="ACC00058"/>
        <s v="ACC00059"/>
        <s v="ACC00060"/>
        <s v="ACC00061"/>
        <s v="ACC00062"/>
        <s v="ACC00063"/>
        <s v="ACC00064"/>
        <s v="ACC00065"/>
        <s v="ACC00066"/>
        <s v="ACC00067"/>
        <s v="ACC00068"/>
        <s v="ACC00069"/>
        <s v="ACC00070"/>
        <s v="ACC00071"/>
        <s v="ACC00072"/>
        <s v="ACC00073"/>
        <s v="ACC00074"/>
        <s v="ACC00075"/>
        <s v="ACC00076"/>
        <s v="ACC00077"/>
        <s v="ACC00078"/>
        <s v="ACC00079"/>
        <s v="ACC00080"/>
        <s v="ACC00081"/>
        <s v="ACC00082"/>
        <s v="ACC00083"/>
        <s v="ACC00084"/>
        <s v="ACC00085"/>
        <s v="ACC00086"/>
        <s v="ACC00087"/>
        <s v="ACC00088"/>
        <s v="ACC00089"/>
        <s v="ACC00090"/>
        <s v="ACC00091"/>
        <s v="ACC00092"/>
        <s v="ACC00093"/>
        <s v="ACC00094"/>
        <s v="ACC00095"/>
        <s v="ACC00096"/>
        <s v="ACC00097"/>
        <s v="ACC00098"/>
        <s v="ACC00099"/>
        <s v="ACC00100"/>
        <s v="ACC00101"/>
        <s v="ACC00102"/>
        <s v="ACC00103"/>
        <s v="ACC00104"/>
        <s v="ACC00105"/>
        <s v="ACC00106"/>
        <s v="ACC00107"/>
        <s v="ACC00108"/>
        <s v="ACC00109"/>
        <s v="ACC00110"/>
        <s v="ACC00111"/>
        <s v="ACC00112"/>
        <s v="ACC00113"/>
        <s v="ACC00114"/>
        <s v="ACC00115"/>
        <s v="ACC00116"/>
        <s v="ACC00117"/>
        <s v="ACC00118"/>
        <s v="ACC00119"/>
        <s v="ACC00120"/>
        <s v="ACC00121"/>
        <s v="ACC00122"/>
        <s v="ACC00123"/>
        <s v="ACC00124"/>
        <s v="ACC00125"/>
        <s v="ACC00126"/>
        <s v="ACC00127"/>
        <s v="ACC00128"/>
        <s v="ACC00129"/>
        <s v="ACC00130"/>
        <s v="ACC00131"/>
        <s v="ACC00132"/>
        <s v="ACC00133"/>
        <s v="ACC00134"/>
        <s v="ACC00135"/>
        <s v="ACC00136"/>
        <s v="ACC00137"/>
        <s v="ACC00138"/>
        <s v="ACC00139"/>
        <s v="ACC00140"/>
        <s v="ACC00141"/>
        <s v="ACC00142"/>
        <s v="ACC00143"/>
        <s v="ACC00144"/>
        <s v="ACC00145"/>
        <s v="ACC00146"/>
        <s v="ACC00147"/>
        <s v="ACC00148"/>
        <s v="ACC00149"/>
        <s v="ACC00150"/>
        <s v="ACC00151"/>
        <s v="ACC00152"/>
        <s v="ACC00153"/>
        <s v="ACC00154"/>
        <s v="ACC00155"/>
        <s v="ACC00156"/>
        <s v="ACC00157"/>
        <s v="ACC00158"/>
        <s v="ACC00159"/>
        <s v="ACC00160"/>
        <s v="ACC00161"/>
        <s v="ACC00162"/>
        <s v="ACC00163"/>
        <s v="ACC00164"/>
        <s v="ACC00165"/>
        <s v="ACC00166"/>
        <s v="ACC00167"/>
        <s v="ACC00168"/>
        <s v="ACC00169"/>
        <s v="ACC00170"/>
        <s v="ACC00171"/>
        <s v="ACC00172"/>
        <s v="ACC00173"/>
        <s v="ACC00174"/>
        <s v="ACC00175"/>
        <s v="ACC00176"/>
        <s v="ACC00177"/>
        <s v="ACC00178"/>
        <s v="ACC00179"/>
        <s v="ACC00180"/>
        <s v="ACC00181"/>
        <s v="ACC00182"/>
        <s v="ACC00183"/>
        <s v="ACC00184"/>
        <s v="ACC00185"/>
        <s v="ACC00186"/>
        <s v="ACC00187"/>
        <s v="ACC00188"/>
        <s v="ACC00189"/>
        <s v="ACC00190"/>
        <s v="ACC00191"/>
        <s v="ACC00192"/>
        <s v="ACC00193"/>
        <s v="ACC00194"/>
        <s v="ACC00195"/>
        <s v="ACC00196"/>
        <s v="ACC00197"/>
        <s v="ACC00198"/>
        <s v="ACC00199"/>
        <s v="ACC00200"/>
        <s v="ACC00201"/>
        <s v="ACC00202"/>
        <s v="ACC00203"/>
        <s v="ACC00204"/>
        <s v="ACC00205"/>
        <s v="ACC00206"/>
        <s v="ACC00207"/>
        <s v="ACC00208"/>
        <s v="ACC00209"/>
        <s v="ACC00210"/>
        <s v="ACC00211"/>
        <s v="ACC00212"/>
        <s v="ACC00213"/>
        <s v="ACC00214"/>
        <s v="ACC00215"/>
        <s v="ACC00216"/>
        <s v="ACC00217"/>
        <s v="ACC00218"/>
        <s v="ACC00219"/>
        <s v="ACC00220"/>
        <s v="ACC00221"/>
        <s v="ACC00222"/>
        <s v="ACC00223"/>
        <s v="ACC00224"/>
        <s v="ACC00225"/>
        <s v="ACC00226"/>
        <s v="ACC00227"/>
        <s v="ACC00228"/>
        <s v="ACC00229"/>
        <s v="ACC00230"/>
        <s v="ACC00231"/>
        <s v="ACC00232"/>
        <s v="ACC00233"/>
        <s v="ACC00234"/>
        <s v="ACC00235"/>
        <s v="ACC00236"/>
        <s v="ACC00237"/>
        <s v="ACC00238"/>
        <s v="ACC00239"/>
        <s v="ACC00240"/>
        <s v="ACC00241"/>
        <s v="ACC00242"/>
        <s v="ACC00243"/>
        <s v="ACC00244"/>
        <s v="ACC00245"/>
        <s v="ACC00246"/>
        <s v="ACC00247"/>
        <s v="ACC00248"/>
        <s v="ACC00249"/>
        <s v="ACC00250"/>
        <s v="ACC00251"/>
        <s v="ACC00252"/>
        <s v="ACC00253"/>
        <s v="ACC00254"/>
        <s v="ACC00255"/>
        <s v="ACC00256"/>
        <s v="ACC00257"/>
        <s v="ACC00258"/>
        <s v="ACC00259"/>
        <s v="ACC00260"/>
        <s v="ACC00261"/>
        <s v="ACC00262"/>
        <s v="ACC00263"/>
        <s v="ACC00264"/>
        <s v="ACC00265"/>
        <s v="ACC00266"/>
        <s v="ACC00267"/>
        <s v="ACC00268"/>
        <s v="ACC00269"/>
        <s v="ACC00270"/>
        <s v="ACC00271"/>
        <s v="ACC00272"/>
        <s v="ACC00273"/>
        <s v="ACC00274"/>
        <s v="ACC00275"/>
        <s v="ACC00276"/>
        <s v="ACC00277"/>
        <s v="ACC00278"/>
        <s v="ACC00279"/>
        <s v="ACC00280"/>
        <s v="ACC00281"/>
        <s v="ACC00282"/>
        <s v="ACC00283"/>
        <s v="ACC00284"/>
        <s v="ACC00285"/>
        <s v="ACC00286"/>
        <s v="ACC00287"/>
        <s v="ACC00288"/>
        <s v="ACC00289"/>
        <s v="ACC00290"/>
        <s v="ACC00291"/>
        <s v="ACC00292"/>
        <s v="ACC00293"/>
        <s v="ACC00294"/>
        <s v="ACC00295"/>
        <s v="ACC00296"/>
        <s v="ACC00297"/>
        <s v="ACC00298"/>
        <s v="ACC00299"/>
        <s v="ACC00300"/>
        <s v="ACC00301"/>
        <s v="ACC00302"/>
        <s v="ACC00303"/>
        <s v="ACC00304"/>
        <s v="ACC00305"/>
        <s v="ACC00306"/>
        <s v="ACC00307"/>
        <s v="ACC00308"/>
        <s v="ACC00309"/>
        <s v="ACC00310"/>
        <s v="ACC00311"/>
        <s v="ACC00312"/>
        <s v="ACC00313"/>
        <s v="ACC00314"/>
        <s v="ACC00315"/>
        <s v="ACC00316"/>
        <s v="ACC00317"/>
        <s v="ACC00318"/>
        <s v="ACC00319"/>
        <s v="ACC00320"/>
        <s v="ACC00321"/>
        <s v="ACC00322"/>
        <s v="ACC00323"/>
        <s v="ACC00324"/>
        <s v="ACC00325"/>
        <s v="ACC00326"/>
        <s v="ACC00327"/>
        <s v="ACC00328"/>
        <s v="ACC00329"/>
        <s v="ACC00330"/>
        <s v="ACC00331"/>
        <s v="ACC00332"/>
        <s v="ACC00333"/>
        <s v="ACC00334"/>
        <s v="ACC00335"/>
        <s v="ACC00336"/>
        <s v="ACC00337"/>
        <s v="ACC00338"/>
        <s v="ACC00339"/>
        <s v="ACC00340"/>
        <s v="ACC00341"/>
        <s v="ACC00342"/>
        <s v="ACC00343"/>
        <s v="ACC00344"/>
        <s v="ACC00345"/>
        <s v="ACC00346"/>
        <s v="ACC00347"/>
        <s v="ACC00348"/>
        <s v="ACC00349"/>
        <s v="ACC00350"/>
        <s v="ACC00351"/>
        <s v="ACC00352"/>
        <s v="ACC00353"/>
        <s v="ACC00354"/>
        <s v="ACC00355"/>
        <s v="ACC00356"/>
        <s v="ACC00357"/>
        <s v="ACC00358"/>
        <s v="ACC00359"/>
        <s v="ACC00360"/>
        <s v="ACC00361"/>
        <s v="ACC00362"/>
        <s v="ACC00363"/>
        <s v="ACC00364"/>
        <s v="ACC00365"/>
        <s v="ACC00366"/>
        <s v="ACC00367"/>
        <s v="ACC00368"/>
        <s v="ACC00369"/>
        <s v="ACC00370"/>
        <s v="ACC00371"/>
        <s v="ACC00372"/>
        <s v="ACC00373"/>
        <s v="ACC00374"/>
        <s v="ACC00375"/>
        <s v="ACC00376"/>
        <s v="ACC00377"/>
        <s v="ACC00378"/>
        <s v="ACC00379"/>
        <s v="ACC00380"/>
        <s v="ACC00381"/>
        <s v="ACC00382"/>
        <s v="ACC00383"/>
        <s v="ACC00384"/>
        <s v="ACC00385"/>
        <s v="ACC00386"/>
        <s v="ACC00387"/>
        <s v="ACC00388"/>
        <s v="ACC00389"/>
        <s v="ACC00390"/>
        <s v="ACC00391"/>
        <s v="ACC00392"/>
        <s v="ACC00393"/>
        <s v="ACC00394"/>
        <s v="ACC00395"/>
        <s v="ACC00396"/>
        <s v="ACC00397"/>
        <s v="ACC00398"/>
        <s v="ACC00399"/>
        <s v="ACC00400"/>
        <s v="ACC00401"/>
        <s v="ACC00402"/>
        <s v="ACC00403"/>
        <s v="ACC00404"/>
        <s v="ACC00405"/>
        <s v="ACC00406"/>
        <s v="ACC00407"/>
        <s v="ACC00408"/>
        <s v="ACC00409"/>
        <s v="ACC00410"/>
        <s v="ACC00411"/>
        <s v="ACC00412"/>
        <s v="ACC00413"/>
        <s v="ACC00414"/>
        <s v="ACC00415"/>
        <s v="ACC00416"/>
        <s v="ACC00417"/>
        <s v="ACC00418"/>
        <s v="ACC00419"/>
        <s v="ACC00420"/>
        <s v="ACC00421"/>
        <s v="ACC00422"/>
        <s v="ACC00423"/>
        <s v="ACC00424"/>
        <s v="ACC00425"/>
        <s v="ACC00426"/>
        <s v="ACC00427"/>
        <s v="ACC00428"/>
        <s v="ACC00429"/>
        <s v="ACC00430"/>
        <s v="ACC00431"/>
        <s v="ACC00432"/>
        <s v="ACC00433"/>
        <s v="ACC00434"/>
        <s v="ACC00435"/>
        <s v="ACC00436"/>
        <s v="ACC00437"/>
        <s v="ACC00438"/>
        <s v="ACC00439"/>
        <s v="ACC00440"/>
        <s v="ACC00441"/>
        <s v="ACC00442"/>
        <s v="ACC00443"/>
        <s v="ACC00444"/>
        <s v="ACC00445"/>
        <s v="ACC00446"/>
        <s v="ACC00447"/>
        <s v="ACC00448"/>
        <s v="ACC00449"/>
        <s v="ACC00450"/>
        <s v="ACC00451"/>
        <s v="ACC00452"/>
        <s v="ACC00453"/>
        <s v="ACC00454"/>
        <s v="ACC00455"/>
        <s v="ACC00456"/>
        <s v="ACC00457"/>
        <s v="ACC00458"/>
        <s v="ACC00459"/>
        <s v="ACC00460"/>
        <s v="ACC00461"/>
        <s v="ACC00462"/>
        <s v="ACC00463"/>
        <s v="ACC00464"/>
        <s v="ACC00465"/>
        <s v="ACC00466"/>
        <s v="ACC00467"/>
        <s v="ACC00468"/>
        <s v="ACC00469"/>
        <s v="ACC00470"/>
        <s v="ACC00471"/>
        <s v="ACC00472"/>
        <s v="ACC00473"/>
        <s v="ACC00474"/>
        <s v="ACC00475"/>
        <s v="ACC00476"/>
        <s v="ACC00477"/>
        <s v="ACC00478"/>
        <s v="ACC00479"/>
        <s v="ACC00480"/>
        <s v="ACC00481"/>
        <s v="ACC00482"/>
        <s v="ACC00483"/>
        <s v="ACC00484"/>
        <s v="ACC00485"/>
        <s v="ACC00486"/>
        <s v="ACC00487"/>
        <s v="ACC00488"/>
        <s v="ACC00489"/>
        <s v="ACC00490"/>
        <s v="ACC00491"/>
        <s v="ACC00492"/>
        <s v="ACC00493"/>
        <s v="ACC00494"/>
        <s v="ACC00495"/>
        <s v="ACC00496"/>
        <s v="ACC00497"/>
        <s v="ACC00498"/>
        <s v="ACC00499"/>
        <s v="ACC00500"/>
        <s v="ACC00501"/>
        <s v="ACC00502"/>
        <s v="ACC00503"/>
        <s v="ACC00504"/>
        <s v="ACC00505"/>
        <s v="ACC00506"/>
        <s v="ACC00507"/>
        <s v="ACC00508"/>
        <s v="ACC00509"/>
        <s v="ACC00510"/>
        <s v="ACC00511"/>
        <s v="ACC00512"/>
        <s v="ACC00513"/>
        <s v="ACC00514"/>
        <s v="ACC00515"/>
        <s v="ACC00516"/>
        <s v="ACC00517"/>
        <s v="ACC00518"/>
        <s v="ACC00519"/>
        <s v="ACC00520"/>
        <s v="ACC00521"/>
        <s v="ACC00522"/>
        <s v="ACC00523"/>
        <s v="ACC00524"/>
        <s v="ACC00525"/>
        <s v="ACC00526"/>
        <s v="ACC00527"/>
        <s v="ACC00528"/>
        <s v="ACC00529"/>
        <s v="ACC00530"/>
        <s v="ACC00531"/>
        <s v="ACC00532"/>
        <s v="ACC00533"/>
        <s v="ACC00534"/>
        <s v="ACC00535"/>
        <s v="ACC00536"/>
        <s v="ACC00537"/>
        <s v="ACC00538"/>
        <s v="ACC00539"/>
        <s v="ACC00540"/>
        <s v="ACC00541"/>
        <s v="ACC00542"/>
        <s v="ACC00543"/>
        <s v="ACC00544"/>
        <s v="ACC00545"/>
        <s v="ACC00546"/>
        <s v="ACC00547"/>
        <s v="ACC00548"/>
        <s v="ACC00549"/>
        <s v="ACC00550"/>
        <s v="ACC00551"/>
        <s v="ACC00552"/>
        <s v="ACC00553"/>
        <s v="ACC00554"/>
        <s v="ACC00555"/>
        <s v="ACC00556"/>
        <s v="ACC00557"/>
        <s v="ACC00558"/>
        <s v="ACC00559"/>
        <s v="ACC00560"/>
        <s v="ACC00561"/>
        <s v="ACC00562"/>
        <s v="ACC00563"/>
        <s v="ACC00564"/>
        <s v="ACC00565"/>
        <s v="ACC00566"/>
        <s v="ACC00567"/>
        <s v="ACC00568"/>
        <s v="ACC00569"/>
        <s v="ACC00570"/>
        <s v="ACC00571"/>
        <s v="ACC00572"/>
        <s v="ACC00573"/>
        <s v="ACC00574"/>
        <s v="ACC00575"/>
        <s v="ACC00576"/>
        <s v="ACC00577"/>
        <s v="ACC00578"/>
        <s v="ACC00579"/>
        <s v="ACC00580"/>
        <s v="ACC00581"/>
        <s v="ACC00582"/>
        <s v="ACC00583"/>
        <s v="ACC00584"/>
        <s v="ACC00585"/>
        <s v="ACC00586"/>
        <s v="ACC00587"/>
        <s v="ACC00588"/>
        <s v="ACC00589"/>
        <s v="ACC00590"/>
        <s v="ACC00591"/>
        <s v="ACC00592"/>
        <s v="ACC00593"/>
        <s v="ACC00594"/>
        <s v="ACC00595"/>
        <s v="ACC00596"/>
        <s v="ACC00597"/>
        <s v="ACC00598"/>
        <s v="ACC00599"/>
        <s v="ACC00600"/>
        <s v="ACC00601"/>
        <s v="ACC00602"/>
        <s v="ACC00603"/>
        <s v="ACC00604"/>
        <s v="ACC00605"/>
        <s v="ACC00606"/>
        <s v="ACC00607"/>
        <s v="ACC00608"/>
        <s v="ACC00609"/>
        <s v="ACC00610"/>
        <s v="ACC00611"/>
        <s v="ACC00612"/>
        <s v="ACC00613"/>
        <s v="ACC00614"/>
        <s v="ACC00615"/>
        <s v="ACC00616"/>
        <s v="ACC00617"/>
        <s v="ACC00618"/>
        <s v="ACC00619"/>
        <s v="ACC00620"/>
        <s v="ACC00621"/>
        <s v="ACC00622"/>
        <s v="ACC00623"/>
        <s v="ACC00624"/>
        <s v="ACC00625"/>
        <s v="ACC00626"/>
        <s v="ACC00627"/>
        <s v="ACC00628"/>
        <s v="ACC00629"/>
        <s v="ACC00630"/>
        <s v="ACC00631"/>
        <s v="ACC00632"/>
        <s v="ACC00633"/>
        <s v="ACC00634"/>
        <s v="ACC00635"/>
        <s v="ACC00636"/>
        <s v="ACC00637"/>
        <s v="ACC00638"/>
        <s v="ACC00639"/>
        <s v="ACC00640"/>
        <s v="ACC00641"/>
        <s v="ACC00642"/>
        <s v="ACC00643"/>
        <s v="ACC00644"/>
        <s v="ACC00645"/>
        <s v="ACC00646"/>
        <s v="ACC00647"/>
        <s v="ACC00648"/>
        <s v="ACC00649"/>
        <s v="ACC00650"/>
        <s v="ACC00651"/>
        <s v="ACC00652"/>
        <s v="ACC00653"/>
        <s v="ACC00654"/>
        <s v="ACC00655"/>
        <s v="ACC00656"/>
        <s v="ACC00657"/>
        <s v="ACC00658"/>
        <s v="ACC00659"/>
        <s v="ACC00660"/>
        <s v="ACC00661"/>
        <s v="ACC00662"/>
        <s v="ACC00663"/>
        <s v="ACC00664"/>
        <s v="ACC00665"/>
        <s v="ACC00666"/>
        <s v="ACC00667"/>
        <s v="ACC00668"/>
        <s v="ACC00669"/>
        <s v="ACC00670"/>
        <s v="ACC00671"/>
        <s v="ACC00672"/>
        <s v="ACC00673"/>
        <s v="ACC00674"/>
        <s v="ACC00675"/>
        <s v="ACC00676"/>
        <s v="ACC00677"/>
        <s v="ACC00678"/>
        <s v="ACC00679"/>
        <s v="ACC00680"/>
        <s v="ACC00681"/>
        <s v="ACC00682"/>
        <s v="ACC00683"/>
        <s v="ACC00684"/>
        <s v="ACC00685"/>
        <s v="ACC00686"/>
        <s v="ACC00687"/>
        <s v="ACC00688"/>
        <s v="ACC00689"/>
        <s v="ACC00690"/>
        <s v="ACC00691"/>
        <s v="ACC00692"/>
        <s v="ACC00693"/>
        <s v="ACC00694"/>
        <s v="ACC00695"/>
        <s v="ACC00696"/>
        <s v="ACC00697"/>
        <s v="ACC00698"/>
        <s v="ACC00699"/>
        <s v="ACC00700"/>
        <s v="ACC00701"/>
        <s v="ACC00702"/>
        <s v="ACC00703"/>
        <s v="ACC00704"/>
        <s v="ACC00705"/>
        <s v="ACC00706"/>
        <s v="ACC00707"/>
        <s v="ACC00708"/>
        <s v="ACC00709"/>
        <s v="ACC00710"/>
        <s v="ACC00711"/>
        <s v="ACC00712"/>
        <s v="ACC00713"/>
        <s v="ACC00714"/>
        <s v="ACC00715"/>
        <s v="ACC00716"/>
        <s v="ACC00717"/>
        <s v="ACC00718"/>
        <s v="ACC00719"/>
        <s v="ACC00720"/>
        <s v="ACC00721"/>
        <s v="ACC00722"/>
        <s v="ACC00723"/>
        <s v="ACC00724"/>
        <s v="ACC00725"/>
        <s v="ACC00726"/>
        <s v="ACC00727"/>
        <s v="ACC00728"/>
        <s v="ACC00729"/>
        <s v="ACC00730"/>
        <s v="ACC00731"/>
        <s v="ACC00732"/>
        <s v="ACC00733"/>
        <s v="ACC00734"/>
        <s v="ACC00735"/>
        <s v="ACC00736"/>
        <s v="ACC00737"/>
        <s v="ACC00738"/>
        <s v="ACC00739"/>
        <s v="ACC00740"/>
        <s v="ACC00741"/>
        <s v="ACC00742"/>
        <s v="ACC00743"/>
        <s v="ACC00744"/>
        <s v="ACC00745"/>
        <s v="ACC00746"/>
        <s v="ACC00747"/>
        <s v="ACC00748"/>
        <s v="ACC00749"/>
        <s v="ACC00750"/>
        <s v="ACC00751"/>
        <s v="ACC00752"/>
        <s v="ACC00753"/>
        <s v="ACC00754"/>
        <s v="ACC00755"/>
        <s v="ACC00756"/>
        <s v="ACC00757"/>
        <s v="ACC00758"/>
        <s v="ACC00759"/>
        <s v="ACC00760"/>
        <s v="ACC00761"/>
        <s v="ACC00762"/>
        <s v="ACC00763"/>
        <s v="ACC00764"/>
        <s v="ACC00765"/>
        <s v="ACC00766"/>
        <s v="ACC00767"/>
        <s v="ACC00768"/>
        <s v="ACC00769"/>
        <s v="ACC00770"/>
        <s v="ACC00771"/>
        <s v="ACC00772"/>
        <s v="ACC00773"/>
        <s v="ACC00774"/>
        <s v="ACC00775"/>
        <s v="ACC00776"/>
        <s v="ACC00777"/>
        <s v="ACC00778"/>
        <s v="ACC00779"/>
        <s v="ACC00780"/>
        <s v="ACC00781"/>
        <s v="ACC00782"/>
        <s v="ACC00783"/>
        <s v="ACC00784"/>
        <s v="ACC00785"/>
        <s v="ACC00786"/>
        <s v="ACC00787"/>
        <s v="ACC00788"/>
        <s v="ACC00789"/>
        <s v="ACC00790"/>
        <s v="ACC00791"/>
        <s v="ACC00792"/>
        <s v="ACC00793"/>
        <s v="ACC00794"/>
        <s v="ACC00795"/>
        <s v="ACC00796"/>
        <s v="ACC00797"/>
        <s v="ACC00798"/>
        <s v="ACC00799"/>
        <s v="ACC00800"/>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2" memberValueDatatype="130" unbalanced="0">
      <fieldsUsage count="2">
        <fieldUsage x="-1"/>
        <fieldUsage x="1"/>
      </fieldsUsage>
    </cacheHierarchy>
    <cacheHierarchy uniqueName="[accounts  2].[CustomerID]" caption="CustomerID" attribute="1" defaultMemberUniqueName="[accounts  2].[CustomerID].[All]" allUniqueName="[accounts  2].[CustomerID].[All]" dimensionUniqueName="[accounts  2]" displayFolder="" count="2" memberValueDatatype="130" unbalanced="0">
      <fieldsUsage count="2">
        <fieldUsage x="-1"/>
        <fieldUsage x="0"/>
      </fieldsUsage>
    </cacheHierarchy>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3"/>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2"/>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520833" backgroundQuery="1" createdVersion="8" refreshedVersion="8" minRefreshableVersion="3" recordCount="0" supportSubquery="1" supportAdvancedDrill="1" xr:uid="{5EE5C7D1-E8E6-4984-B15B-0A382F066BD9}">
  <cacheSource type="external" connectionId="6"/>
  <cacheFields count="2">
    <cacheField name="[Measures].[Multi Account Holder]" caption="Multi Account Holder" numFmtId="0" hierarchy="7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oneField="1">
      <fieldsUsage count="1">
        <fieldUsage x="0"/>
      </fieldsUsage>
    </cacheHierarchy>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8449071" backgroundQuery="1" createdVersion="8" refreshedVersion="8" minRefreshableVersion="3" recordCount="0" supportSubquery="1" supportAdvancedDrill="1" xr:uid="{6DE456CE-656D-4DF3-89B6-A3C0B7BD5E5B}">
  <cacheSource type="external" connectionId="6"/>
  <cacheFields count="3">
    <cacheField name="[Measures].[Average of Resolution_Time(days)]" caption="Average of Resolution_Time(days)" numFmtId="0" hierarchy="73"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oneField="1">
      <fieldsUsage count="1">
        <fieldUsage x="0"/>
      </fieldsUsage>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0416665" backgroundQuery="1" createdVersion="8" refreshedVersion="8" minRefreshableVersion="3" recordCount="0" supportSubquery="1" supportAdvancedDrill="1" xr:uid="{FB123514-B97F-4DF9-9020-D0FEABBDBEC8}">
  <cacheSource type="external" connectionId="6"/>
  <cacheFields count="4">
    <cacheField name="[complaints  1   1].[Status].[Status]" caption="Status" numFmtId="0" hierarchy="23" level="1">
      <sharedItems count="3">
        <s v="In Progress"/>
        <s v="Open"/>
        <s v="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fieldsUsage count="2">
        <fieldUsage x="-1"/>
        <fieldUsage x="0"/>
      </fieldsUsage>
    </cacheHierarchy>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2152781" backgroundQuery="1" createdVersion="8" refreshedVersion="8" minRefreshableVersion="3" recordCount="0" supportSubquery="1" supportAdvancedDrill="1" xr:uid="{350FAF98-F7E8-4C1B-9A67-7CBCE7F528F1}">
  <cacheSource type="external" connectionId="6"/>
  <cacheFields count="4">
    <cacheField name="[complaints  1   1].[Complaint_Type].[Complaint_Type]" caption="Complaint_Type" numFmtId="0" hierarchy="22" level="1">
      <sharedItems containsSemiMixedTypes="0" containsNonDate="0" containsString="0"/>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4004628" backgroundQuery="1" createdVersion="8" refreshedVersion="8" minRefreshableVersion="3" recordCount="0" supportSubquery="1" supportAdvancedDrill="1" xr:uid="{A9E96591-E5EC-4DA9-86BF-1D0CAB922962}">
  <cacheSource type="external" connectionId="6"/>
  <cacheFields count="4">
    <cacheField name="[Table2_1].[Income Bracket].[Income Bracket]" caption="Income Bracket" numFmtId="0" hierarchy="35" level="1">
      <sharedItems count="4">
        <s v="High"/>
        <s v="Low"/>
        <s v="Medium"/>
        <s v="Premium"/>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2" memberValueDatatype="130" unbalanced="0">
      <fieldsUsage count="2">
        <fieldUsage x="-1"/>
        <fieldUsage x="0"/>
      </fieldsUsage>
    </cacheHierarchy>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5277775" backgroundQuery="1" createdVersion="8" refreshedVersion="8" minRefreshableVersion="3" recordCount="0" supportSubquery="1" supportAdvancedDrill="1" xr:uid="{160826CD-C5BB-48DD-B210-0A01A5AF0DB7}">
  <cacheSource type="external" connectionId="6"/>
  <cacheFields count="3">
    <cacheField name="[Measures].[Premium Customers]" caption="Premium Customers" numFmtId="0" hierarchy="77"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oneField="1">
      <fieldsUsage count="1">
        <fieldUsage x="0"/>
      </fieldsUsage>
    </cacheHierarchy>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712963" backgroundQuery="1" createdVersion="8" refreshedVersion="8" minRefreshableVersion="3" recordCount="0" supportSubquery="1" supportAdvancedDrill="1" xr:uid="{7A511ADF-E953-4939-89DF-FB252A6D644C}">
  <cacheSource type="external" connectionId="6"/>
  <cacheFields count="3">
    <cacheField name="[Measures].[percentage of premium affected]" caption="percentage of premium affected" numFmtId="0" hierarchy="78"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oneField="1">
      <fieldsUsage count="1">
        <fieldUsage x="0"/>
      </fieldsUsage>
    </cacheHierarchy>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8865739" backgroundQuery="1" createdVersion="8" refreshedVersion="8" minRefreshableVersion="3" recordCount="0" supportSubquery="1" supportAdvancedDrill="1" xr:uid="{679EDA04-410F-4034-8F25-D1990EB85362}">
  <cacheSource type="external" connectionId="6"/>
  <cacheFields count="4">
    <cacheField name="[complaints  1   1].[Status].[Status]" caption="Status" numFmtId="0" hierarchy="23" level="1">
      <sharedItems count="3">
        <s v="In Progress"/>
        <s v="Open"/>
        <s v="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fieldsUsage count="2">
        <fieldUsage x="-1"/>
        <fieldUsage x="0"/>
      </fieldsUsage>
    </cacheHierarchy>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0949072" backgroundQuery="1" createdVersion="8" refreshedVersion="8" minRefreshableVersion="3" recordCount="0" supportSubquery="1" supportAdvancedDrill="1" xr:uid="{4674349C-EEDF-4CB0-9594-414932DAF47A}">
  <cacheSource type="external" connectionId="6"/>
  <cacheFields count="4">
    <cacheField name="[complaints  1   1].[Resolution_state].[Resolution_state]" caption="Resolution_state" numFmtId="0" hierarchy="25" level="1">
      <sharedItems count="2">
        <s v="Resolved"/>
        <s v="Un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2" memberValueDatatype="130" unbalanced="0">
      <fieldsUsage count="2">
        <fieldUsage x="-1"/>
        <fieldUsage x="0"/>
      </fieldsUsage>
    </cacheHierarchy>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2916665" backgroundQuery="1" createdVersion="8" refreshedVersion="8" minRefreshableVersion="3" recordCount="0" supportSubquery="1" supportAdvancedDrill="1" xr:uid="{D5C69033-8E4D-4A77-97FF-68B02405E26E}">
  <cacheSource type="external" connectionId="6"/>
  <cacheFields count="4">
    <cacheField name="[complaints  1   1].[Complaint_Type].[Complaint_Type]" caption="Complaint_Type" numFmtId="0" hierarchy="22" level="1">
      <sharedItems count="5">
        <s v="Charges Dispute"/>
        <s v="Fraud"/>
        <s v="Others"/>
        <s v="Service Delay"/>
        <s v="Technical Issue"/>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6504629" backgroundQuery="1" createdVersion="8" refreshedVersion="8" minRefreshableVersion="3" recordCount="0" supportSubquery="1" supportAdvancedDrill="1" xr:uid="{C7724CCC-8CC4-4200-9305-97B07C581B50}">
  <cacheSource type="external" connectionId="6"/>
  <cacheFields count="3">
    <cacheField name="[accounts  2].[Loan_Status].[Loan_Status]" caption="Loan_Status" numFmtId="0" hierarchy="7" level="1">
      <sharedItems count="2">
        <s v="Approved"/>
        <s v="Rejected"/>
      </sharedItems>
    </cacheField>
    <cacheField name="[Measures].[Average of Credit_Score]" caption="Average of Credit_Score" numFmtId="0" hierarchy="58"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oneField="1">
      <fieldsUsage count="1">
        <fieldUsage x="1"/>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 Adeyemo" refreshedDate="45967.515879976854" createdVersion="8" refreshedVersion="8" minRefreshableVersion="3" recordCount="500" xr:uid="{A67DA623-D66C-4C34-8843-02BDD2497D7F}">
  <cacheSource type="worksheet">
    <worksheetSource name="Table2_1"/>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ount="57">
        <n v="38"/>
        <n v="49"/>
        <n v="40"/>
        <n v="50"/>
        <n v="20"/>
        <n v="35"/>
        <n v="42"/>
        <n v="59"/>
        <n v="48"/>
        <n v="71"/>
        <n v="57"/>
        <n v="63"/>
        <n v="41"/>
        <n v="67"/>
        <n v="64"/>
        <n v="39"/>
        <n v="19"/>
        <n v="44"/>
        <n v="43"/>
        <n v="34"/>
        <n v="26"/>
        <n v="60"/>
        <n v="65"/>
        <n v="56"/>
        <n v="46"/>
        <n v="72"/>
        <n v="52"/>
        <n v="30"/>
        <n v="24"/>
        <n v="74"/>
        <n v="53"/>
        <n v="62"/>
        <n v="37"/>
        <n v="18"/>
        <n v="25"/>
        <n v="33"/>
        <n v="31"/>
        <n v="29"/>
        <n v="68"/>
        <n v="32"/>
        <n v="45"/>
        <n v="51"/>
        <n v="66"/>
        <n v="69"/>
        <n v="23"/>
        <n v="54"/>
        <n v="70"/>
        <n v="61"/>
        <n v="22"/>
        <n v="21"/>
        <n v="47"/>
        <n v="36"/>
        <n v="73"/>
        <n v="27"/>
        <n v="58"/>
        <n v="28"/>
        <n v="55"/>
      </sharedItems>
      <fieldGroup base="3">
        <rangePr startNum="18" endNum="74" groupInterval="8"/>
        <groupItems count="9">
          <s v="&lt;18"/>
          <s v="18-25"/>
          <s v="26-33"/>
          <s v="34-41"/>
          <s v="42-49"/>
          <s v="50-57"/>
          <s v="58-65"/>
          <s v="66-74"/>
          <s v="&gt;74"/>
        </groupItems>
      </fieldGroup>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acheField>
    <cacheField name="Income" numFmtId="0">
      <sharedItems containsSemiMixedTypes="0" containsString="0" containsNumber="1" containsInteger="1" minValue="20281" maxValue="199917"/>
    </cacheField>
    <cacheField name="Income Bracket" numFmtId="0">
      <sharedItems count="4">
        <s v="Premium"/>
        <s v="High"/>
        <s v="Medium"/>
        <s v="Low"/>
      </sharedItems>
    </cacheField>
    <cacheField name="Customer_Segment" numFmtId="0">
      <sharedItems count="3">
        <s v="Retail"/>
        <s v="Corporate"/>
        <s v="Private"/>
      </sharedItems>
    </cacheField>
    <cacheField name="Join Date" numFmtId="22">
      <sharedItems containsSemiMixedTypes="0" containsNonDate="0" containsDate="1" containsString="0" minDate="2015-08-23T00:00:00" maxDate="2025-08-23T00:00:00"/>
    </cacheField>
    <cacheField name="Tenure(years)" numFmtId="0">
      <sharedItems containsSemiMixedTypes="0" containsString="0" containsNumber="1" containsInteger="1" minValue="0" maxValue="10"/>
    </cacheField>
    <cacheField name="Tenure Category" numFmtId="0">
      <sharedItems count="4">
        <s v="New"/>
        <s v="Engaged"/>
        <s v="Loyal"/>
        <s v="Establishment" u="1"/>
      </sharedItems>
    </cacheField>
    <cacheField name="Join 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625289720"/>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23650462965" backgroundQuery="1" createdVersion="8" refreshedVersion="8" minRefreshableVersion="3" recordCount="0" supportSubquery="1" supportAdvancedDrill="1" xr:uid="{5B3074E2-B288-497A-A362-EFCEFBD92FBB}">
  <cacheSource type="external" connectionId="6"/>
  <cacheFields count="2">
    <cacheField name="[Measures].[Count of ComplaintID]" caption="Count of ComplaintID" numFmtId="0" hierarchy="71" level="32767"/>
    <cacheField name="[complaints  1   1].[Month].[Month]" caption="Month" numFmtId="0" hierarchy="26" level="1">
      <sharedItems count="12">
        <s v="Apr"/>
        <s v="Aug"/>
        <s v="Dec"/>
        <s v="Feb"/>
        <s v="Jan"/>
        <s v="Jul"/>
        <s v="Jun"/>
        <s v="Mar"/>
        <s v="May"/>
        <s v="Nov"/>
        <s v="Oct"/>
        <s v="Sep"/>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2" memberValueDatatype="130" unbalanced="0">
      <fieldsUsage count="2">
        <fieldUsage x="-1"/>
        <fieldUsage x="1"/>
      </fieldsUsage>
    </cacheHierarchy>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0"/>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89780208335" backgroundQuery="1" createdVersion="8" refreshedVersion="8" minRefreshableVersion="3" recordCount="0" supportSubquery="1" supportAdvancedDrill="1" xr:uid="{D9D59F8E-25D4-4869-A498-F36DE2CC84A8}">
  <cacheSource type="external" connectionId="6"/>
  <cacheFields count="1">
    <cacheField name="[Measures].[Count of ComplaintID]" caption="Count of ComplaintID" numFmtId="0" hierarchy="7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0"/>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71.404557407404" backgroundQuery="1" createdVersion="8" refreshedVersion="8" minRefreshableVersion="3" recordCount="0" supportSubquery="1" supportAdvancedDrill="1" xr:uid="{062F6169-A90E-4E13-ACA2-97866E520528}">
  <cacheSource type="external" connectionId="6"/>
  <cacheFields count="2">
    <cacheField name="[complaints  1   1].[Complaint_Type].[Complaint_Type]" caption="Complaint_Type" numFmtId="0" hierarchy="22" level="1">
      <sharedItems count="5">
        <s v="Charges Dispute"/>
        <s v="Fraud"/>
        <s v="Others"/>
        <s v="Service Delay"/>
        <s v="Technical Issue"/>
      </sharedItems>
    </cacheField>
    <cacheField name="[Measures].[Average of Resolution_Time(days)]" caption="Average of Resolution_Time(days)" numFmtId="0" hierarchy="73"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oneField="1">
      <fieldsUsage count="1">
        <fieldUsage x="1"/>
      </fieldsUsage>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6805556" backgroundQuery="1" createdVersion="3" refreshedVersion="8" minRefreshableVersion="3" recordCount="0" supportSubquery="1" supportAdvancedDrill="1" xr:uid="{A71EFDA9-48B4-46EA-89FA-76C82F7B42DA}">
  <cacheSource type="external" connectionId="6">
    <extLst>
      <ext xmlns:x14="http://schemas.microsoft.com/office/spreadsheetml/2009/9/main" uri="{F057638F-6D5F-4e77-A914-E7F072B9BCA8}">
        <x14:sourceConnection name="ThisWorkbookDataModel"/>
      </ext>
    </extLst>
  </cacheSource>
  <cacheFields count="0"/>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590221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Mrs. Deborah Dominguez MD"/>
    <x v="0"/>
    <x v="0"/>
    <x v="0"/>
    <x v="0"/>
    <s v="Doctor"/>
    <n v="191672"/>
    <x v="0"/>
    <x v="0"/>
    <d v="2023-04-25T00:00:00"/>
    <n v="2"/>
    <x v="0"/>
    <x v="0"/>
  </r>
  <r>
    <s v="CUST0002"/>
    <s v="Erin Martinez"/>
    <x v="1"/>
    <x v="1"/>
    <x v="1"/>
    <x v="1"/>
    <s v="Trader"/>
    <n v="186472"/>
    <x v="0"/>
    <x v="1"/>
    <d v="2021-05-15T00:00:00"/>
    <n v="4"/>
    <x v="1"/>
    <x v="1"/>
  </r>
  <r>
    <s v="CUST0003"/>
    <s v="Amanda Harris"/>
    <x v="0"/>
    <x v="2"/>
    <x v="0"/>
    <x v="0"/>
    <s v="Teacher"/>
    <n v="155566"/>
    <x v="0"/>
    <x v="2"/>
    <d v="2018-12-04T00:00:00"/>
    <n v="6"/>
    <x v="1"/>
    <x v="2"/>
  </r>
  <r>
    <s v="CUST0004"/>
    <s v="Candice Palmer"/>
    <x v="0"/>
    <x v="3"/>
    <x v="1"/>
    <x v="0"/>
    <s v="Banker"/>
    <n v="142744"/>
    <x v="0"/>
    <x v="0"/>
    <d v="2021-10-25T00:00:00"/>
    <n v="4"/>
    <x v="1"/>
    <x v="1"/>
  </r>
  <r>
    <s v="CUST0005"/>
    <s v="Sandra Davis"/>
    <x v="0"/>
    <x v="4"/>
    <x v="2"/>
    <x v="2"/>
    <s v="Student"/>
    <n v="109431"/>
    <x v="0"/>
    <x v="1"/>
    <d v="2018-07-28T00:00:00"/>
    <n v="7"/>
    <x v="2"/>
    <x v="2"/>
  </r>
  <r>
    <s v="CUST0006"/>
    <s v="Vanessa Peterson"/>
    <x v="1"/>
    <x v="5"/>
    <x v="0"/>
    <x v="3"/>
    <s v="Teacher"/>
    <n v="63001"/>
    <x v="1"/>
    <x v="0"/>
    <d v="2016-05-30T00:00:00"/>
    <n v="9"/>
    <x v="2"/>
    <x v="3"/>
  </r>
  <r>
    <s v="CUST0007"/>
    <s v="Tyler Fischer"/>
    <x v="0"/>
    <x v="6"/>
    <x v="1"/>
    <x v="0"/>
    <s v="Engineer"/>
    <n v="87364"/>
    <x v="1"/>
    <x v="1"/>
    <d v="2017-10-18T00:00:00"/>
    <n v="8"/>
    <x v="2"/>
    <x v="4"/>
  </r>
  <r>
    <s v="CUST0008"/>
    <s v="William Horton"/>
    <x v="0"/>
    <x v="7"/>
    <x v="3"/>
    <x v="0"/>
    <s v="Engineer"/>
    <n v="144988"/>
    <x v="0"/>
    <x v="0"/>
    <d v="2024-06-05T00:00:00"/>
    <n v="1"/>
    <x v="0"/>
    <x v="5"/>
  </r>
  <r>
    <s v="CUST0009"/>
    <s v="Donna Williams"/>
    <x v="0"/>
    <x v="8"/>
    <x v="1"/>
    <x v="2"/>
    <s v="Retired"/>
    <n v="65028"/>
    <x v="1"/>
    <x v="1"/>
    <d v="2019-02-11T00:00:00"/>
    <n v="6"/>
    <x v="1"/>
    <x v="6"/>
  </r>
  <r>
    <s v="CUST0010"/>
    <s v="Mary Casey"/>
    <x v="1"/>
    <x v="9"/>
    <x v="3"/>
    <x v="2"/>
    <s v="Trader"/>
    <n v="188645"/>
    <x v="0"/>
    <x v="1"/>
    <d v="2016-02-05T00:00:00"/>
    <n v="9"/>
    <x v="2"/>
    <x v="3"/>
  </r>
  <r>
    <s v="CUST0011"/>
    <s v="Kevin Phillips"/>
    <x v="0"/>
    <x v="4"/>
    <x v="2"/>
    <x v="3"/>
    <s v="Doctor"/>
    <n v="151878"/>
    <x v="0"/>
    <x v="2"/>
    <d v="2017-02-15T00:00:00"/>
    <n v="8"/>
    <x v="2"/>
    <x v="4"/>
  </r>
  <r>
    <s v="CUST0012"/>
    <s v="Michael Richard"/>
    <x v="0"/>
    <x v="10"/>
    <x v="1"/>
    <x v="2"/>
    <s v="Trader"/>
    <n v="144343"/>
    <x v="0"/>
    <x v="1"/>
    <d v="2023-12-20T00:00:00"/>
    <n v="1"/>
    <x v="0"/>
    <x v="0"/>
  </r>
  <r>
    <s v="CUST0013"/>
    <s v="Jaime Davis MD"/>
    <x v="0"/>
    <x v="11"/>
    <x v="3"/>
    <x v="1"/>
    <s v="Trader"/>
    <n v="148301"/>
    <x v="0"/>
    <x v="0"/>
    <d v="2023-04-02T00:00:00"/>
    <n v="2"/>
    <x v="0"/>
    <x v="0"/>
  </r>
  <r>
    <s v="CUST0014"/>
    <s v="Eric Peterson"/>
    <x v="0"/>
    <x v="12"/>
    <x v="0"/>
    <x v="2"/>
    <s v="Trader"/>
    <n v="146295"/>
    <x v="0"/>
    <x v="1"/>
    <d v="2017-08-13T00:00:00"/>
    <n v="8"/>
    <x v="2"/>
    <x v="4"/>
  </r>
  <r>
    <s v="CUST0015"/>
    <s v="Ms. Renee Cardenas PhD"/>
    <x v="1"/>
    <x v="13"/>
    <x v="3"/>
    <x v="1"/>
    <s v="Trader"/>
    <n v="180829"/>
    <x v="0"/>
    <x v="1"/>
    <d v="2019-07-27T00:00:00"/>
    <n v="6"/>
    <x v="1"/>
    <x v="6"/>
  </r>
  <r>
    <s v="CUST0016"/>
    <s v="Ashlee Baird"/>
    <x v="0"/>
    <x v="1"/>
    <x v="1"/>
    <x v="3"/>
    <s v="Banker"/>
    <n v="54636"/>
    <x v="2"/>
    <x v="0"/>
    <d v="2019-06-27T00:00:00"/>
    <n v="6"/>
    <x v="1"/>
    <x v="6"/>
  </r>
  <r>
    <s v="CUST0017"/>
    <s v="Michael Conner"/>
    <x v="1"/>
    <x v="14"/>
    <x v="3"/>
    <x v="3"/>
    <s v="Banker"/>
    <n v="199352"/>
    <x v="0"/>
    <x v="0"/>
    <d v="2021-06-28T00:00:00"/>
    <n v="4"/>
    <x v="1"/>
    <x v="1"/>
  </r>
  <r>
    <s v="CUST0018"/>
    <s v="Jeff Koch"/>
    <x v="1"/>
    <x v="15"/>
    <x v="0"/>
    <x v="3"/>
    <s v="Retired"/>
    <n v="44262"/>
    <x v="2"/>
    <x v="2"/>
    <d v="2025-03-12T00:00:00"/>
    <n v="0"/>
    <x v="0"/>
    <x v="7"/>
  </r>
  <r>
    <s v="CUST0019"/>
    <s v="Melissa Clark"/>
    <x v="1"/>
    <x v="2"/>
    <x v="0"/>
    <x v="3"/>
    <s v="Teacher"/>
    <n v="100435"/>
    <x v="0"/>
    <x v="1"/>
    <d v="2021-09-17T00:00:00"/>
    <n v="4"/>
    <x v="1"/>
    <x v="1"/>
  </r>
  <r>
    <s v="CUST0020"/>
    <s v="Janice Scott"/>
    <x v="0"/>
    <x v="16"/>
    <x v="2"/>
    <x v="3"/>
    <s v="Engineer"/>
    <n v="148583"/>
    <x v="0"/>
    <x v="1"/>
    <d v="2023-05-12T00:00:00"/>
    <n v="2"/>
    <x v="0"/>
    <x v="0"/>
  </r>
  <r>
    <s v="CUST0021"/>
    <s v="Elizabeth Smith"/>
    <x v="1"/>
    <x v="17"/>
    <x v="1"/>
    <x v="1"/>
    <s v="Trader"/>
    <n v="189269"/>
    <x v="0"/>
    <x v="0"/>
    <d v="2024-05-02T00:00:00"/>
    <n v="1"/>
    <x v="0"/>
    <x v="5"/>
  </r>
  <r>
    <s v="CUST0022"/>
    <s v="Jodi Burns"/>
    <x v="0"/>
    <x v="7"/>
    <x v="3"/>
    <x v="1"/>
    <s v="Retired"/>
    <n v="61844"/>
    <x v="1"/>
    <x v="1"/>
    <d v="2023-07-11T00:00:00"/>
    <n v="2"/>
    <x v="0"/>
    <x v="0"/>
  </r>
  <r>
    <s v="CUST0023"/>
    <s v="Robert Robertson"/>
    <x v="1"/>
    <x v="16"/>
    <x v="2"/>
    <x v="3"/>
    <s v="Teacher"/>
    <n v="84754"/>
    <x v="1"/>
    <x v="0"/>
    <d v="2022-07-03T00:00:00"/>
    <n v="3"/>
    <x v="1"/>
    <x v="8"/>
  </r>
  <r>
    <s v="CUST0024"/>
    <s v="Curtis Scott"/>
    <x v="1"/>
    <x v="18"/>
    <x v="1"/>
    <x v="2"/>
    <s v="Engineer"/>
    <n v="185229"/>
    <x v="0"/>
    <x v="1"/>
    <d v="2017-01-30T00:00:00"/>
    <n v="8"/>
    <x v="2"/>
    <x v="4"/>
  </r>
  <r>
    <s v="CUST0025"/>
    <s v="Cindy Parks"/>
    <x v="1"/>
    <x v="19"/>
    <x v="0"/>
    <x v="0"/>
    <s v="Student"/>
    <n v="97129"/>
    <x v="1"/>
    <x v="0"/>
    <d v="2019-09-10T00:00:00"/>
    <n v="6"/>
    <x v="1"/>
    <x v="6"/>
  </r>
  <r>
    <s v="CUST0026"/>
    <s v="Charles Fields"/>
    <x v="1"/>
    <x v="10"/>
    <x v="1"/>
    <x v="3"/>
    <s v="Doctor"/>
    <n v="60042"/>
    <x v="1"/>
    <x v="1"/>
    <d v="2021-09-30T00:00:00"/>
    <n v="4"/>
    <x v="1"/>
    <x v="1"/>
  </r>
  <r>
    <s v="CUST0027"/>
    <s v="Michael Murray MD"/>
    <x v="1"/>
    <x v="3"/>
    <x v="1"/>
    <x v="2"/>
    <s v="Banker"/>
    <n v="81665"/>
    <x v="1"/>
    <x v="2"/>
    <d v="2016-08-25T00:00:00"/>
    <n v="9"/>
    <x v="2"/>
    <x v="3"/>
  </r>
  <r>
    <s v="CUST0028"/>
    <s v="Edward Haynes"/>
    <x v="1"/>
    <x v="20"/>
    <x v="0"/>
    <x v="0"/>
    <s v="Student"/>
    <n v="136953"/>
    <x v="0"/>
    <x v="0"/>
    <d v="2019-08-21T00:00:00"/>
    <n v="6"/>
    <x v="1"/>
    <x v="6"/>
  </r>
  <r>
    <s v="CUST0029"/>
    <s v="James Allen"/>
    <x v="1"/>
    <x v="21"/>
    <x v="3"/>
    <x v="3"/>
    <s v="Engineer"/>
    <n v="178448"/>
    <x v="0"/>
    <x v="2"/>
    <d v="2022-09-30T00:00:00"/>
    <n v="3"/>
    <x v="1"/>
    <x v="8"/>
  </r>
  <r>
    <s v="CUST0030"/>
    <s v="Angela Robinson"/>
    <x v="1"/>
    <x v="9"/>
    <x v="3"/>
    <x v="3"/>
    <s v="Student"/>
    <n v="165271"/>
    <x v="0"/>
    <x v="0"/>
    <d v="2020-10-05T00:00:00"/>
    <n v="5"/>
    <x v="1"/>
    <x v="9"/>
  </r>
  <r>
    <s v="CUST0031"/>
    <s v="Michelle Day"/>
    <x v="0"/>
    <x v="22"/>
    <x v="3"/>
    <x v="1"/>
    <s v="Doctor"/>
    <n v="138533"/>
    <x v="0"/>
    <x v="1"/>
    <d v="2017-01-07T00:00:00"/>
    <n v="8"/>
    <x v="2"/>
    <x v="4"/>
  </r>
  <r>
    <s v="CUST0032"/>
    <s v="Steven Walker"/>
    <x v="0"/>
    <x v="23"/>
    <x v="1"/>
    <x v="0"/>
    <s v="Retired"/>
    <n v="93781"/>
    <x v="1"/>
    <x v="1"/>
    <d v="2016-07-14T00:00:00"/>
    <n v="9"/>
    <x v="2"/>
    <x v="3"/>
  </r>
  <r>
    <s v="CUST0033"/>
    <s v="Lindsey Christensen"/>
    <x v="1"/>
    <x v="24"/>
    <x v="1"/>
    <x v="0"/>
    <s v="Engineer"/>
    <n v="86262"/>
    <x v="1"/>
    <x v="0"/>
    <d v="2019-08-21T00:00:00"/>
    <n v="6"/>
    <x v="1"/>
    <x v="6"/>
  </r>
  <r>
    <s v="CUST0034"/>
    <s v="Brooke Carlson"/>
    <x v="1"/>
    <x v="7"/>
    <x v="3"/>
    <x v="2"/>
    <s v="Student"/>
    <n v="66600"/>
    <x v="1"/>
    <x v="1"/>
    <d v="2021-11-13T00:00:00"/>
    <n v="3"/>
    <x v="1"/>
    <x v="1"/>
  </r>
  <r>
    <s v="CUST0035"/>
    <s v="Kevin Marshall"/>
    <x v="1"/>
    <x v="25"/>
    <x v="3"/>
    <x v="1"/>
    <s v="Banker"/>
    <n v="96898"/>
    <x v="1"/>
    <x v="1"/>
    <d v="2016-06-12T00:00:00"/>
    <n v="9"/>
    <x v="2"/>
    <x v="3"/>
  </r>
  <r>
    <s v="CUST0036"/>
    <s v="Bradley Moore"/>
    <x v="0"/>
    <x v="18"/>
    <x v="1"/>
    <x v="1"/>
    <s v="Banker"/>
    <n v="169369"/>
    <x v="0"/>
    <x v="0"/>
    <d v="2017-06-16T00:00:00"/>
    <n v="8"/>
    <x v="2"/>
    <x v="4"/>
  </r>
  <r>
    <s v="CUST0037"/>
    <s v="Dawn Navarro"/>
    <x v="1"/>
    <x v="26"/>
    <x v="1"/>
    <x v="1"/>
    <s v="Teacher"/>
    <n v="50448"/>
    <x v="2"/>
    <x v="0"/>
    <d v="2017-07-06T00:00:00"/>
    <n v="8"/>
    <x v="2"/>
    <x v="4"/>
  </r>
  <r>
    <s v="CUST0038"/>
    <s v="Adam Garcia"/>
    <x v="0"/>
    <x v="13"/>
    <x v="3"/>
    <x v="1"/>
    <s v="Student"/>
    <n v="46172"/>
    <x v="2"/>
    <x v="1"/>
    <d v="2021-11-07T00:00:00"/>
    <n v="3"/>
    <x v="1"/>
    <x v="1"/>
  </r>
  <r>
    <s v="CUST0039"/>
    <s v="Jorge James"/>
    <x v="0"/>
    <x v="6"/>
    <x v="1"/>
    <x v="0"/>
    <s v="Trader"/>
    <n v="193946"/>
    <x v="0"/>
    <x v="1"/>
    <d v="2020-08-31T00:00:00"/>
    <n v="5"/>
    <x v="1"/>
    <x v="9"/>
  </r>
  <r>
    <s v="CUST0040"/>
    <s v="Adam Montgomery"/>
    <x v="0"/>
    <x v="12"/>
    <x v="0"/>
    <x v="0"/>
    <s v="Student"/>
    <n v="27657"/>
    <x v="3"/>
    <x v="1"/>
    <d v="2015-10-19T00:00:00"/>
    <n v="10"/>
    <x v="2"/>
    <x v="10"/>
  </r>
  <r>
    <s v="CUST0041"/>
    <s v="Dr. Nicole Mendez"/>
    <x v="0"/>
    <x v="27"/>
    <x v="0"/>
    <x v="3"/>
    <s v="Retired"/>
    <n v="176497"/>
    <x v="0"/>
    <x v="1"/>
    <d v="2017-04-28T00:00:00"/>
    <n v="8"/>
    <x v="2"/>
    <x v="4"/>
  </r>
  <r>
    <s v="CUST0042"/>
    <s v="Joseph Owens"/>
    <x v="0"/>
    <x v="28"/>
    <x v="2"/>
    <x v="3"/>
    <s v="Engineer"/>
    <n v="177757"/>
    <x v="0"/>
    <x v="0"/>
    <d v="2016-07-25T00:00:00"/>
    <n v="9"/>
    <x v="2"/>
    <x v="3"/>
  </r>
  <r>
    <s v="CUST0043"/>
    <s v="Stephanie Ashley"/>
    <x v="1"/>
    <x v="29"/>
    <x v="3"/>
    <x v="1"/>
    <s v="Engineer"/>
    <n v="132855"/>
    <x v="0"/>
    <x v="1"/>
    <d v="2022-07-10T00:00:00"/>
    <n v="3"/>
    <x v="1"/>
    <x v="8"/>
  </r>
  <r>
    <s v="CUST0044"/>
    <s v="Regina Harris"/>
    <x v="1"/>
    <x v="30"/>
    <x v="1"/>
    <x v="1"/>
    <s v="Retired"/>
    <n v="175650"/>
    <x v="0"/>
    <x v="0"/>
    <d v="2021-08-19T00:00:00"/>
    <n v="4"/>
    <x v="1"/>
    <x v="1"/>
  </r>
  <r>
    <s v="CUST0045"/>
    <s v="Ashley Miller"/>
    <x v="1"/>
    <x v="31"/>
    <x v="3"/>
    <x v="1"/>
    <s v="Student"/>
    <n v="179903"/>
    <x v="0"/>
    <x v="0"/>
    <d v="2019-06-20T00:00:00"/>
    <n v="6"/>
    <x v="1"/>
    <x v="6"/>
  </r>
  <r>
    <s v="CUST0046"/>
    <s v="Keith Watson"/>
    <x v="1"/>
    <x v="32"/>
    <x v="0"/>
    <x v="3"/>
    <s v="Retired"/>
    <n v="27906"/>
    <x v="3"/>
    <x v="0"/>
    <d v="2021-05-07T00:00:00"/>
    <n v="4"/>
    <x v="1"/>
    <x v="1"/>
  </r>
  <r>
    <s v="CUST0047"/>
    <s v="Patricia Schneider"/>
    <x v="1"/>
    <x v="33"/>
    <x v="2"/>
    <x v="2"/>
    <s v="Doctor"/>
    <n v="81413"/>
    <x v="1"/>
    <x v="0"/>
    <d v="2017-04-06T00:00:00"/>
    <n v="8"/>
    <x v="2"/>
    <x v="4"/>
  </r>
  <r>
    <s v="CUST0048"/>
    <s v="Deanna Watson"/>
    <x v="0"/>
    <x v="34"/>
    <x v="2"/>
    <x v="2"/>
    <s v="Retired"/>
    <n v="74028"/>
    <x v="1"/>
    <x v="0"/>
    <d v="2024-07-05T00:00:00"/>
    <n v="1"/>
    <x v="0"/>
    <x v="5"/>
  </r>
  <r>
    <s v="CUST0049"/>
    <s v="Samantha Davis"/>
    <x v="1"/>
    <x v="11"/>
    <x v="3"/>
    <x v="3"/>
    <s v="Banker"/>
    <n v="27287"/>
    <x v="3"/>
    <x v="0"/>
    <d v="2017-01-15T00:00:00"/>
    <n v="8"/>
    <x v="2"/>
    <x v="4"/>
  </r>
  <r>
    <s v="CUST0050"/>
    <s v="Michele Kim"/>
    <x v="1"/>
    <x v="35"/>
    <x v="0"/>
    <x v="3"/>
    <s v="Retired"/>
    <n v="53660"/>
    <x v="2"/>
    <x v="1"/>
    <d v="2023-03-07T00:00:00"/>
    <n v="2"/>
    <x v="0"/>
    <x v="0"/>
  </r>
  <r>
    <s v="CUST0051"/>
    <s v="Daniel Logan"/>
    <x v="0"/>
    <x v="36"/>
    <x v="0"/>
    <x v="3"/>
    <s v="Engineer"/>
    <n v="80504"/>
    <x v="1"/>
    <x v="0"/>
    <d v="2016-09-09T00:00:00"/>
    <n v="9"/>
    <x v="2"/>
    <x v="3"/>
  </r>
  <r>
    <s v="CUST0052"/>
    <s v="Kimberly Valencia"/>
    <x v="1"/>
    <x v="37"/>
    <x v="0"/>
    <x v="3"/>
    <s v="Banker"/>
    <n v="122979"/>
    <x v="0"/>
    <x v="0"/>
    <d v="2023-05-26T00:00:00"/>
    <n v="2"/>
    <x v="0"/>
    <x v="0"/>
  </r>
  <r>
    <s v="CUST0053"/>
    <s v="Mrs. Nicole Fitzpatrick"/>
    <x v="0"/>
    <x v="38"/>
    <x v="3"/>
    <x v="3"/>
    <s v="Engineer"/>
    <n v="54701"/>
    <x v="2"/>
    <x v="0"/>
    <d v="2022-06-28T00:00:00"/>
    <n v="3"/>
    <x v="1"/>
    <x v="8"/>
  </r>
  <r>
    <s v="CUST0054"/>
    <s v="Carmen Thomas"/>
    <x v="1"/>
    <x v="2"/>
    <x v="0"/>
    <x v="3"/>
    <s v="Teacher"/>
    <n v="103300"/>
    <x v="0"/>
    <x v="0"/>
    <d v="2020-10-03T00:00:00"/>
    <n v="5"/>
    <x v="1"/>
    <x v="9"/>
  </r>
  <r>
    <s v="CUST0055"/>
    <s v="Darius Garcia"/>
    <x v="0"/>
    <x v="39"/>
    <x v="0"/>
    <x v="1"/>
    <s v="Trader"/>
    <n v="168746"/>
    <x v="0"/>
    <x v="0"/>
    <d v="2022-12-21T00:00:00"/>
    <n v="2"/>
    <x v="0"/>
    <x v="8"/>
  </r>
  <r>
    <s v="CUST0056"/>
    <s v="Jackie West"/>
    <x v="1"/>
    <x v="40"/>
    <x v="1"/>
    <x v="1"/>
    <s v="Engineer"/>
    <n v="103560"/>
    <x v="0"/>
    <x v="0"/>
    <d v="2022-05-30T00:00:00"/>
    <n v="3"/>
    <x v="1"/>
    <x v="8"/>
  </r>
  <r>
    <s v="CUST0057"/>
    <s v="Brandy Murphy"/>
    <x v="1"/>
    <x v="41"/>
    <x v="1"/>
    <x v="1"/>
    <s v="Banker"/>
    <n v="174946"/>
    <x v="0"/>
    <x v="1"/>
    <d v="2019-07-25T00:00:00"/>
    <n v="6"/>
    <x v="1"/>
    <x v="6"/>
  </r>
  <r>
    <s v="CUST0058"/>
    <s v="Rhonda Charles"/>
    <x v="0"/>
    <x v="16"/>
    <x v="2"/>
    <x v="1"/>
    <s v="Teacher"/>
    <n v="63642"/>
    <x v="1"/>
    <x v="1"/>
    <d v="2019-06-06T00:00:00"/>
    <n v="6"/>
    <x v="1"/>
    <x v="6"/>
  </r>
  <r>
    <s v="CUST0059"/>
    <s v="Matthew Sanchez"/>
    <x v="0"/>
    <x v="1"/>
    <x v="1"/>
    <x v="3"/>
    <s v="Engineer"/>
    <n v="85160"/>
    <x v="1"/>
    <x v="1"/>
    <d v="2024-03-09T00:00:00"/>
    <n v="1"/>
    <x v="0"/>
    <x v="5"/>
  </r>
  <r>
    <s v="CUST0060"/>
    <s v="Meghan Le"/>
    <x v="0"/>
    <x v="2"/>
    <x v="0"/>
    <x v="2"/>
    <s v="Doctor"/>
    <n v="37602"/>
    <x v="2"/>
    <x v="0"/>
    <d v="2018-11-11T00:00:00"/>
    <n v="6"/>
    <x v="1"/>
    <x v="2"/>
  </r>
  <r>
    <s v="CUST0061"/>
    <s v="Ricky Fisher"/>
    <x v="0"/>
    <x v="15"/>
    <x v="0"/>
    <x v="0"/>
    <s v="Retired"/>
    <n v="123320"/>
    <x v="0"/>
    <x v="0"/>
    <d v="2022-11-13T00:00:00"/>
    <n v="2"/>
    <x v="0"/>
    <x v="8"/>
  </r>
  <r>
    <s v="CUST0062"/>
    <s v="Tony Bell"/>
    <x v="0"/>
    <x v="38"/>
    <x v="3"/>
    <x v="3"/>
    <s v="Trader"/>
    <n v="108801"/>
    <x v="0"/>
    <x v="1"/>
    <d v="2024-11-01T00:00:00"/>
    <n v="1"/>
    <x v="0"/>
    <x v="5"/>
  </r>
  <r>
    <s v="CUST0063"/>
    <s v="Matthew Ruiz"/>
    <x v="0"/>
    <x v="6"/>
    <x v="1"/>
    <x v="0"/>
    <s v="Engineer"/>
    <n v="45931"/>
    <x v="2"/>
    <x v="0"/>
    <d v="2023-04-26T00:00:00"/>
    <n v="2"/>
    <x v="0"/>
    <x v="0"/>
  </r>
  <r>
    <s v="CUST0064"/>
    <s v="Joshua White"/>
    <x v="0"/>
    <x v="15"/>
    <x v="0"/>
    <x v="2"/>
    <s v="Teacher"/>
    <n v="114377"/>
    <x v="0"/>
    <x v="0"/>
    <d v="2023-03-12T00:00:00"/>
    <n v="2"/>
    <x v="0"/>
    <x v="0"/>
  </r>
  <r>
    <s v="CUST0065"/>
    <s v="Crystal Smith"/>
    <x v="0"/>
    <x v="15"/>
    <x v="0"/>
    <x v="1"/>
    <s v="Doctor"/>
    <n v="49192"/>
    <x v="2"/>
    <x v="0"/>
    <d v="2020-10-15T00:00:00"/>
    <n v="5"/>
    <x v="1"/>
    <x v="9"/>
  </r>
  <r>
    <s v="CUST0066"/>
    <s v="Felicia Nelson"/>
    <x v="1"/>
    <x v="42"/>
    <x v="3"/>
    <x v="2"/>
    <s v="Student"/>
    <n v="66542"/>
    <x v="1"/>
    <x v="0"/>
    <d v="2017-12-22T00:00:00"/>
    <n v="7"/>
    <x v="2"/>
    <x v="4"/>
  </r>
  <r>
    <s v="CUST0067"/>
    <s v="Jessica Williams"/>
    <x v="1"/>
    <x v="43"/>
    <x v="3"/>
    <x v="3"/>
    <s v="Teacher"/>
    <n v="147015"/>
    <x v="0"/>
    <x v="0"/>
    <d v="2023-03-11T00:00:00"/>
    <n v="2"/>
    <x v="0"/>
    <x v="0"/>
  </r>
  <r>
    <s v="CUST0068"/>
    <s v="Barbara Gonzalez"/>
    <x v="0"/>
    <x v="7"/>
    <x v="3"/>
    <x v="1"/>
    <s v="Retired"/>
    <n v="62520"/>
    <x v="1"/>
    <x v="0"/>
    <d v="2017-11-30T00:00:00"/>
    <n v="7"/>
    <x v="2"/>
    <x v="4"/>
  </r>
  <r>
    <s v="CUST0069"/>
    <s v="Amanda Beck"/>
    <x v="1"/>
    <x v="44"/>
    <x v="2"/>
    <x v="3"/>
    <s v="Teacher"/>
    <n v="84772"/>
    <x v="1"/>
    <x v="0"/>
    <d v="2018-08-29T00:00:00"/>
    <n v="7"/>
    <x v="2"/>
    <x v="2"/>
  </r>
  <r>
    <s v="CUST0070"/>
    <s v="Bob Stout"/>
    <x v="1"/>
    <x v="39"/>
    <x v="0"/>
    <x v="1"/>
    <s v="Doctor"/>
    <n v="70106"/>
    <x v="1"/>
    <x v="0"/>
    <d v="2024-07-04T00:00:00"/>
    <n v="1"/>
    <x v="0"/>
    <x v="5"/>
  </r>
  <r>
    <s v="CUST0071"/>
    <s v="Ashley Johnson"/>
    <x v="1"/>
    <x v="9"/>
    <x v="3"/>
    <x v="0"/>
    <s v="Teacher"/>
    <n v="101121"/>
    <x v="0"/>
    <x v="1"/>
    <d v="2025-06-07T00:00:00"/>
    <n v="0"/>
    <x v="0"/>
    <x v="7"/>
  </r>
  <r>
    <s v="CUST0072"/>
    <s v="Billy Hendrix Jr."/>
    <x v="1"/>
    <x v="21"/>
    <x v="3"/>
    <x v="0"/>
    <s v="Doctor"/>
    <n v="45559"/>
    <x v="2"/>
    <x v="1"/>
    <d v="2016-03-28T00:00:00"/>
    <n v="9"/>
    <x v="2"/>
    <x v="3"/>
  </r>
  <r>
    <s v="CUST0073"/>
    <s v="Sarah Brown"/>
    <x v="0"/>
    <x v="45"/>
    <x v="1"/>
    <x v="0"/>
    <s v="Engineer"/>
    <n v="125595"/>
    <x v="0"/>
    <x v="1"/>
    <d v="2020-04-08T00:00:00"/>
    <n v="5"/>
    <x v="1"/>
    <x v="9"/>
  </r>
  <r>
    <s v="CUST0074"/>
    <s v="Christopher Chapman"/>
    <x v="1"/>
    <x v="3"/>
    <x v="1"/>
    <x v="2"/>
    <s v="Doctor"/>
    <n v="53742"/>
    <x v="2"/>
    <x v="1"/>
    <d v="2025-01-20T00:00:00"/>
    <n v="0"/>
    <x v="0"/>
    <x v="7"/>
  </r>
  <r>
    <s v="CUST0075"/>
    <s v="Stephen Jacobs"/>
    <x v="0"/>
    <x v="34"/>
    <x v="2"/>
    <x v="3"/>
    <s v="Doctor"/>
    <n v="89669"/>
    <x v="1"/>
    <x v="2"/>
    <d v="2018-07-28T00:00:00"/>
    <n v="7"/>
    <x v="2"/>
    <x v="2"/>
  </r>
  <r>
    <s v="CUST0076"/>
    <s v="Pamela Johnson"/>
    <x v="1"/>
    <x v="46"/>
    <x v="3"/>
    <x v="2"/>
    <s v="Trader"/>
    <n v="172826"/>
    <x v="0"/>
    <x v="0"/>
    <d v="2017-07-01T00:00:00"/>
    <n v="8"/>
    <x v="2"/>
    <x v="4"/>
  </r>
  <r>
    <s v="CUST0077"/>
    <s v="Bryan Butler"/>
    <x v="1"/>
    <x v="47"/>
    <x v="3"/>
    <x v="0"/>
    <s v="Doctor"/>
    <n v="155044"/>
    <x v="0"/>
    <x v="0"/>
    <d v="2022-01-23T00:00:00"/>
    <n v="3"/>
    <x v="1"/>
    <x v="8"/>
  </r>
  <r>
    <s v="CUST0078"/>
    <s v="Jenna Butler"/>
    <x v="1"/>
    <x v="47"/>
    <x v="3"/>
    <x v="3"/>
    <s v="Doctor"/>
    <n v="90831"/>
    <x v="1"/>
    <x v="0"/>
    <d v="2018-07-21T00:00:00"/>
    <n v="7"/>
    <x v="2"/>
    <x v="2"/>
  </r>
  <r>
    <s v="CUST0079"/>
    <s v="Richard Bennett"/>
    <x v="0"/>
    <x v="48"/>
    <x v="2"/>
    <x v="0"/>
    <s v="Student"/>
    <n v="132217"/>
    <x v="0"/>
    <x v="1"/>
    <d v="2022-01-04T00:00:00"/>
    <n v="3"/>
    <x v="1"/>
    <x v="8"/>
  </r>
  <r>
    <s v="CUST0080"/>
    <s v="Kevin Young"/>
    <x v="1"/>
    <x v="23"/>
    <x v="1"/>
    <x v="2"/>
    <s v="Engineer"/>
    <n v="61873"/>
    <x v="1"/>
    <x v="1"/>
    <d v="2018-04-10T00:00:00"/>
    <n v="7"/>
    <x v="2"/>
    <x v="2"/>
  </r>
  <r>
    <s v="CUST0081"/>
    <s v="Taylor Perkins"/>
    <x v="0"/>
    <x v="49"/>
    <x v="2"/>
    <x v="2"/>
    <s v="Retired"/>
    <n v="126532"/>
    <x v="0"/>
    <x v="0"/>
    <d v="2023-03-26T00:00:00"/>
    <n v="2"/>
    <x v="0"/>
    <x v="0"/>
  </r>
  <r>
    <s v="CUST0082"/>
    <s v="Marcus Miller"/>
    <x v="1"/>
    <x v="44"/>
    <x v="2"/>
    <x v="2"/>
    <s v="Trader"/>
    <n v="146267"/>
    <x v="0"/>
    <x v="2"/>
    <d v="2025-05-14T00:00:00"/>
    <n v="0"/>
    <x v="0"/>
    <x v="7"/>
  </r>
  <r>
    <s v="CUST0083"/>
    <s v="Joseph Burns"/>
    <x v="0"/>
    <x v="31"/>
    <x v="3"/>
    <x v="0"/>
    <s v="Student"/>
    <n v="160975"/>
    <x v="0"/>
    <x v="0"/>
    <d v="2021-04-16T00:00:00"/>
    <n v="4"/>
    <x v="1"/>
    <x v="1"/>
  </r>
  <r>
    <s v="CUST0084"/>
    <s v="Carlos Watson"/>
    <x v="1"/>
    <x v="1"/>
    <x v="1"/>
    <x v="3"/>
    <s v="Banker"/>
    <n v="154092"/>
    <x v="0"/>
    <x v="2"/>
    <d v="2021-04-02T00:00:00"/>
    <n v="4"/>
    <x v="1"/>
    <x v="1"/>
  </r>
  <r>
    <s v="CUST0085"/>
    <s v="John Ruiz"/>
    <x v="0"/>
    <x v="43"/>
    <x v="3"/>
    <x v="3"/>
    <s v="Engineer"/>
    <n v="61755"/>
    <x v="1"/>
    <x v="0"/>
    <d v="2020-01-08T00:00:00"/>
    <n v="5"/>
    <x v="1"/>
    <x v="9"/>
  </r>
  <r>
    <s v="CUST0086"/>
    <s v="Ashley Lewis"/>
    <x v="0"/>
    <x v="50"/>
    <x v="1"/>
    <x v="0"/>
    <s v="Engineer"/>
    <n v="105956"/>
    <x v="0"/>
    <x v="0"/>
    <d v="2021-03-30T00:00:00"/>
    <n v="4"/>
    <x v="1"/>
    <x v="1"/>
  </r>
  <r>
    <s v="CUST0087"/>
    <s v="Jack Coleman"/>
    <x v="1"/>
    <x v="14"/>
    <x v="3"/>
    <x v="3"/>
    <s v="Banker"/>
    <n v="106988"/>
    <x v="0"/>
    <x v="0"/>
    <d v="2025-06-03T00:00:00"/>
    <n v="0"/>
    <x v="0"/>
    <x v="7"/>
  </r>
  <r>
    <s v="CUST0088"/>
    <s v="Amanda Hall"/>
    <x v="0"/>
    <x v="26"/>
    <x v="1"/>
    <x v="0"/>
    <s v="Retired"/>
    <n v="65648"/>
    <x v="1"/>
    <x v="0"/>
    <d v="2019-10-06T00:00:00"/>
    <n v="6"/>
    <x v="1"/>
    <x v="6"/>
  </r>
  <r>
    <s v="CUST0089"/>
    <s v="Elizabeth Brown"/>
    <x v="1"/>
    <x v="25"/>
    <x v="3"/>
    <x v="3"/>
    <s v="Doctor"/>
    <n v="145991"/>
    <x v="0"/>
    <x v="0"/>
    <d v="2021-01-09T00:00:00"/>
    <n v="4"/>
    <x v="1"/>
    <x v="1"/>
  </r>
  <r>
    <s v="CUST0090"/>
    <s v="Edward Ramirez"/>
    <x v="1"/>
    <x v="10"/>
    <x v="1"/>
    <x v="1"/>
    <s v="Student"/>
    <n v="160588"/>
    <x v="0"/>
    <x v="0"/>
    <d v="2015-08-23T00:00:00"/>
    <n v="10"/>
    <x v="2"/>
    <x v="10"/>
  </r>
  <r>
    <s v="CUST0091"/>
    <s v="Christopher Smith"/>
    <x v="1"/>
    <x v="43"/>
    <x v="3"/>
    <x v="1"/>
    <s v="Teacher"/>
    <n v="135005"/>
    <x v="0"/>
    <x v="1"/>
    <d v="2022-08-02T00:00:00"/>
    <n v="3"/>
    <x v="1"/>
    <x v="8"/>
  </r>
  <r>
    <s v="CUST0092"/>
    <s v="Amanda Nelson"/>
    <x v="1"/>
    <x v="35"/>
    <x v="0"/>
    <x v="2"/>
    <s v="Trader"/>
    <n v="22396"/>
    <x v="3"/>
    <x v="0"/>
    <d v="2016-06-10T00:00:00"/>
    <n v="9"/>
    <x v="2"/>
    <x v="3"/>
  </r>
  <r>
    <s v="CUST0093"/>
    <s v="Miguel Rodriguez"/>
    <x v="1"/>
    <x v="27"/>
    <x v="0"/>
    <x v="1"/>
    <s v="Teacher"/>
    <n v="104082"/>
    <x v="0"/>
    <x v="0"/>
    <d v="2018-01-02T00:00:00"/>
    <n v="7"/>
    <x v="2"/>
    <x v="2"/>
  </r>
  <r>
    <s v="CUST0094"/>
    <s v="Timothy Gutierrez"/>
    <x v="1"/>
    <x v="13"/>
    <x v="3"/>
    <x v="1"/>
    <s v="Banker"/>
    <n v="170201"/>
    <x v="0"/>
    <x v="1"/>
    <d v="2023-11-04T00:00:00"/>
    <n v="2"/>
    <x v="0"/>
    <x v="0"/>
  </r>
  <r>
    <s v="CUST0095"/>
    <s v="Christopher Miller"/>
    <x v="1"/>
    <x v="7"/>
    <x v="3"/>
    <x v="1"/>
    <s v="Engineer"/>
    <n v="148322"/>
    <x v="0"/>
    <x v="1"/>
    <d v="2021-07-04T00:00:00"/>
    <n v="4"/>
    <x v="1"/>
    <x v="1"/>
  </r>
  <r>
    <s v="CUST0096"/>
    <s v="Scott Bailey"/>
    <x v="1"/>
    <x v="50"/>
    <x v="1"/>
    <x v="0"/>
    <s v="Retired"/>
    <n v="152663"/>
    <x v="0"/>
    <x v="0"/>
    <d v="2017-08-29T00:00:00"/>
    <n v="8"/>
    <x v="2"/>
    <x v="4"/>
  </r>
  <r>
    <s v="CUST0097"/>
    <s v="Danielle Newman"/>
    <x v="1"/>
    <x v="51"/>
    <x v="0"/>
    <x v="1"/>
    <s v="Engineer"/>
    <n v="31303"/>
    <x v="2"/>
    <x v="0"/>
    <d v="2017-12-22T00:00:00"/>
    <n v="7"/>
    <x v="2"/>
    <x v="4"/>
  </r>
  <r>
    <s v="CUST0098"/>
    <s v="Jeremy Jones"/>
    <x v="1"/>
    <x v="19"/>
    <x v="0"/>
    <x v="1"/>
    <s v="Trader"/>
    <n v="181633"/>
    <x v="0"/>
    <x v="0"/>
    <d v="2023-06-22T00:00:00"/>
    <n v="2"/>
    <x v="0"/>
    <x v="0"/>
  </r>
  <r>
    <s v="CUST0099"/>
    <s v="Alexis Avila"/>
    <x v="1"/>
    <x v="52"/>
    <x v="3"/>
    <x v="2"/>
    <s v="Engineer"/>
    <n v="91719"/>
    <x v="1"/>
    <x v="0"/>
    <d v="2020-11-19T00:00:00"/>
    <n v="4"/>
    <x v="1"/>
    <x v="9"/>
  </r>
  <r>
    <s v="CUST0100"/>
    <s v="Leslie Buchanan"/>
    <x v="0"/>
    <x v="51"/>
    <x v="0"/>
    <x v="1"/>
    <s v="Engineer"/>
    <n v="119616"/>
    <x v="0"/>
    <x v="1"/>
    <d v="2023-01-16T00:00:00"/>
    <n v="2"/>
    <x v="0"/>
    <x v="0"/>
  </r>
  <r>
    <s v="CUST0101"/>
    <s v="Robert Wright"/>
    <x v="0"/>
    <x v="40"/>
    <x v="1"/>
    <x v="1"/>
    <s v="Trader"/>
    <n v="144165"/>
    <x v="0"/>
    <x v="0"/>
    <d v="2020-07-06T00:00:00"/>
    <n v="5"/>
    <x v="1"/>
    <x v="9"/>
  </r>
  <r>
    <s v="CUST0102"/>
    <s v="Patrick Moore"/>
    <x v="1"/>
    <x v="25"/>
    <x v="3"/>
    <x v="3"/>
    <s v="Student"/>
    <n v="106231"/>
    <x v="0"/>
    <x v="0"/>
    <d v="2021-12-30T00:00:00"/>
    <n v="3"/>
    <x v="1"/>
    <x v="1"/>
  </r>
  <r>
    <s v="CUST0103"/>
    <s v="Donna Perkins"/>
    <x v="1"/>
    <x v="18"/>
    <x v="1"/>
    <x v="2"/>
    <s v="Student"/>
    <n v="27314"/>
    <x v="3"/>
    <x v="1"/>
    <d v="2022-05-25T00:00:00"/>
    <n v="3"/>
    <x v="1"/>
    <x v="8"/>
  </r>
  <r>
    <s v="CUST0104"/>
    <s v="Matthew Palmer"/>
    <x v="1"/>
    <x v="45"/>
    <x v="1"/>
    <x v="2"/>
    <s v="Trader"/>
    <n v="39623"/>
    <x v="2"/>
    <x v="0"/>
    <d v="2016-10-02T00:00:00"/>
    <n v="9"/>
    <x v="2"/>
    <x v="3"/>
  </r>
  <r>
    <s v="CUST0105"/>
    <s v="Eric Mayer"/>
    <x v="1"/>
    <x v="18"/>
    <x v="1"/>
    <x v="2"/>
    <s v="Retired"/>
    <n v="125228"/>
    <x v="0"/>
    <x v="0"/>
    <d v="2025-04-01T00:00:00"/>
    <n v="0"/>
    <x v="0"/>
    <x v="7"/>
  </r>
  <r>
    <s v="CUST0106"/>
    <s v="Linda Lopez"/>
    <x v="1"/>
    <x v="46"/>
    <x v="3"/>
    <x v="2"/>
    <s v="Banker"/>
    <n v="184202"/>
    <x v="0"/>
    <x v="0"/>
    <d v="2017-07-24T00:00:00"/>
    <n v="8"/>
    <x v="2"/>
    <x v="4"/>
  </r>
  <r>
    <s v="CUST0107"/>
    <s v="Andrew Flynn"/>
    <x v="1"/>
    <x v="2"/>
    <x v="0"/>
    <x v="2"/>
    <s v="Engineer"/>
    <n v="117624"/>
    <x v="0"/>
    <x v="2"/>
    <d v="2025-03-04T00:00:00"/>
    <n v="0"/>
    <x v="0"/>
    <x v="7"/>
  </r>
  <r>
    <s v="CUST0108"/>
    <s v="Carmen Graham"/>
    <x v="1"/>
    <x v="20"/>
    <x v="0"/>
    <x v="2"/>
    <s v="Retired"/>
    <n v="177364"/>
    <x v="0"/>
    <x v="0"/>
    <d v="2021-01-28T00:00:00"/>
    <n v="4"/>
    <x v="1"/>
    <x v="1"/>
  </r>
  <r>
    <s v="CUST0109"/>
    <s v="Emily Scott"/>
    <x v="1"/>
    <x v="37"/>
    <x v="0"/>
    <x v="0"/>
    <s v="Engineer"/>
    <n v="131785"/>
    <x v="0"/>
    <x v="1"/>
    <d v="2020-09-03T00:00:00"/>
    <n v="5"/>
    <x v="1"/>
    <x v="9"/>
  </r>
  <r>
    <s v="CUST0110"/>
    <s v="Jose Decker"/>
    <x v="0"/>
    <x v="46"/>
    <x v="3"/>
    <x v="1"/>
    <s v="Banker"/>
    <n v="106206"/>
    <x v="0"/>
    <x v="0"/>
    <d v="2018-06-05T00:00:00"/>
    <n v="7"/>
    <x v="2"/>
    <x v="2"/>
  </r>
  <r>
    <s v="CUST0111"/>
    <s v="Anita White"/>
    <x v="1"/>
    <x v="33"/>
    <x v="2"/>
    <x v="2"/>
    <s v="Student"/>
    <n v="89274"/>
    <x v="1"/>
    <x v="0"/>
    <d v="2019-07-11T00:00:00"/>
    <n v="6"/>
    <x v="1"/>
    <x v="6"/>
  </r>
  <r>
    <s v="CUST0112"/>
    <s v="Daniel Adams"/>
    <x v="0"/>
    <x v="33"/>
    <x v="2"/>
    <x v="1"/>
    <s v="Retired"/>
    <n v="153541"/>
    <x v="0"/>
    <x v="1"/>
    <d v="2020-04-10T00:00:00"/>
    <n v="5"/>
    <x v="1"/>
    <x v="9"/>
  </r>
  <r>
    <s v="CUST0113"/>
    <s v="Anthony Ramos"/>
    <x v="1"/>
    <x v="14"/>
    <x v="3"/>
    <x v="1"/>
    <s v="Doctor"/>
    <n v="73947"/>
    <x v="1"/>
    <x v="2"/>
    <d v="2016-03-16T00:00:00"/>
    <n v="9"/>
    <x v="2"/>
    <x v="3"/>
  </r>
  <r>
    <s v="CUST0114"/>
    <s v="Megan Proctor"/>
    <x v="1"/>
    <x v="41"/>
    <x v="1"/>
    <x v="0"/>
    <s v="Doctor"/>
    <n v="173606"/>
    <x v="0"/>
    <x v="1"/>
    <d v="2019-07-12T00:00:00"/>
    <n v="6"/>
    <x v="1"/>
    <x v="6"/>
  </r>
  <r>
    <s v="CUST0115"/>
    <s v="Sarah Guzman"/>
    <x v="0"/>
    <x v="1"/>
    <x v="1"/>
    <x v="2"/>
    <s v="Doctor"/>
    <n v="68874"/>
    <x v="1"/>
    <x v="1"/>
    <d v="2024-08-28T00:00:00"/>
    <n v="1"/>
    <x v="0"/>
    <x v="5"/>
  </r>
  <r>
    <s v="CUST0116"/>
    <s v="Guy Hughes"/>
    <x v="1"/>
    <x v="9"/>
    <x v="3"/>
    <x v="3"/>
    <s v="Student"/>
    <n v="69708"/>
    <x v="1"/>
    <x v="1"/>
    <d v="2025-05-20T00:00:00"/>
    <n v="0"/>
    <x v="0"/>
    <x v="7"/>
  </r>
  <r>
    <s v="CUST0117"/>
    <s v="Heidi Sharp"/>
    <x v="0"/>
    <x v="22"/>
    <x v="3"/>
    <x v="0"/>
    <s v="Student"/>
    <n v="94553"/>
    <x v="1"/>
    <x v="0"/>
    <d v="2025-02-18T00:00:00"/>
    <n v="0"/>
    <x v="0"/>
    <x v="7"/>
  </r>
  <r>
    <s v="CUST0118"/>
    <s v="Shawn Randolph"/>
    <x v="1"/>
    <x v="6"/>
    <x v="1"/>
    <x v="3"/>
    <s v="Banker"/>
    <n v="88344"/>
    <x v="1"/>
    <x v="0"/>
    <d v="2025-03-04T00:00:00"/>
    <n v="0"/>
    <x v="0"/>
    <x v="7"/>
  </r>
  <r>
    <s v="CUST0119"/>
    <s v="Valerie Kelley"/>
    <x v="1"/>
    <x v="10"/>
    <x v="1"/>
    <x v="1"/>
    <s v="Engineer"/>
    <n v="69138"/>
    <x v="1"/>
    <x v="1"/>
    <d v="2019-12-22T00:00:00"/>
    <n v="5"/>
    <x v="1"/>
    <x v="6"/>
  </r>
  <r>
    <s v="CUST0120"/>
    <s v="Sherri Webb"/>
    <x v="0"/>
    <x v="31"/>
    <x v="3"/>
    <x v="1"/>
    <s v="Banker"/>
    <n v="67638"/>
    <x v="1"/>
    <x v="0"/>
    <d v="2019-03-31T00:00:00"/>
    <n v="6"/>
    <x v="1"/>
    <x v="6"/>
  </r>
  <r>
    <s v="CUST0121"/>
    <s v="Mary Cole"/>
    <x v="1"/>
    <x v="46"/>
    <x v="3"/>
    <x v="0"/>
    <s v="Banker"/>
    <n v="98249"/>
    <x v="1"/>
    <x v="1"/>
    <d v="2023-06-17T00:00:00"/>
    <n v="2"/>
    <x v="0"/>
    <x v="0"/>
  </r>
  <r>
    <s v="CUST0122"/>
    <s v="Mariah Hernandez"/>
    <x v="0"/>
    <x v="33"/>
    <x v="2"/>
    <x v="0"/>
    <s v="Student"/>
    <n v="125865"/>
    <x v="0"/>
    <x v="2"/>
    <d v="2015-09-23T00:00:00"/>
    <n v="10"/>
    <x v="2"/>
    <x v="10"/>
  </r>
  <r>
    <s v="CUST0123"/>
    <s v="Kerry Frazier"/>
    <x v="1"/>
    <x v="35"/>
    <x v="0"/>
    <x v="3"/>
    <s v="Doctor"/>
    <n v="22719"/>
    <x v="3"/>
    <x v="0"/>
    <d v="2017-07-05T00:00:00"/>
    <n v="8"/>
    <x v="2"/>
    <x v="4"/>
  </r>
  <r>
    <s v="CUST0124"/>
    <s v="David Smith"/>
    <x v="0"/>
    <x v="23"/>
    <x v="1"/>
    <x v="2"/>
    <s v="Teacher"/>
    <n v="173962"/>
    <x v="0"/>
    <x v="0"/>
    <d v="2022-07-10T00:00:00"/>
    <n v="3"/>
    <x v="1"/>
    <x v="8"/>
  </r>
  <r>
    <s v="CUST0125"/>
    <s v="Juan Rodriguez"/>
    <x v="0"/>
    <x v="48"/>
    <x v="2"/>
    <x v="3"/>
    <s v="Engineer"/>
    <n v="187581"/>
    <x v="0"/>
    <x v="1"/>
    <d v="2017-01-19T00:00:00"/>
    <n v="8"/>
    <x v="2"/>
    <x v="4"/>
  </r>
  <r>
    <s v="CUST0126"/>
    <s v="Jessica Walker"/>
    <x v="1"/>
    <x v="15"/>
    <x v="0"/>
    <x v="0"/>
    <s v="Student"/>
    <n v="62534"/>
    <x v="1"/>
    <x v="0"/>
    <d v="2020-03-01T00:00:00"/>
    <n v="5"/>
    <x v="1"/>
    <x v="9"/>
  </r>
  <r>
    <s v="CUST0127"/>
    <s v="Jennifer Watkins DDS"/>
    <x v="1"/>
    <x v="24"/>
    <x v="1"/>
    <x v="3"/>
    <s v="Doctor"/>
    <n v="112241"/>
    <x v="0"/>
    <x v="1"/>
    <d v="2016-01-05T00:00:00"/>
    <n v="9"/>
    <x v="2"/>
    <x v="3"/>
  </r>
  <r>
    <s v="CUST0128"/>
    <s v="Jessica Ward"/>
    <x v="0"/>
    <x v="25"/>
    <x v="3"/>
    <x v="0"/>
    <s v="Retired"/>
    <n v="169859"/>
    <x v="0"/>
    <x v="0"/>
    <d v="2023-04-23T00:00:00"/>
    <n v="2"/>
    <x v="0"/>
    <x v="0"/>
  </r>
  <r>
    <s v="CUST0129"/>
    <s v="Jeanette Greene"/>
    <x v="1"/>
    <x v="4"/>
    <x v="2"/>
    <x v="3"/>
    <s v="Teacher"/>
    <n v="146209"/>
    <x v="0"/>
    <x v="1"/>
    <d v="2019-02-21T00:00:00"/>
    <n v="6"/>
    <x v="1"/>
    <x v="6"/>
  </r>
  <r>
    <s v="CUST0130"/>
    <s v="Michael Jensen"/>
    <x v="1"/>
    <x v="37"/>
    <x v="0"/>
    <x v="0"/>
    <s v="Teacher"/>
    <n v="199917"/>
    <x v="0"/>
    <x v="0"/>
    <d v="2024-07-25T00:00:00"/>
    <n v="1"/>
    <x v="0"/>
    <x v="5"/>
  </r>
  <r>
    <s v="CUST0131"/>
    <s v="Michael Velasquez"/>
    <x v="1"/>
    <x v="18"/>
    <x v="1"/>
    <x v="0"/>
    <s v="Student"/>
    <n v="112124"/>
    <x v="0"/>
    <x v="1"/>
    <d v="2020-05-04T00:00:00"/>
    <n v="5"/>
    <x v="1"/>
    <x v="9"/>
  </r>
  <r>
    <s v="CUST0132"/>
    <s v="Kendra Diaz"/>
    <x v="0"/>
    <x v="35"/>
    <x v="0"/>
    <x v="0"/>
    <s v="Trader"/>
    <n v="111659"/>
    <x v="0"/>
    <x v="0"/>
    <d v="2018-02-12T00:00:00"/>
    <n v="7"/>
    <x v="2"/>
    <x v="2"/>
  </r>
  <r>
    <s v="CUST0133"/>
    <s v="Lydia Ford"/>
    <x v="0"/>
    <x v="38"/>
    <x v="3"/>
    <x v="2"/>
    <s v="Engineer"/>
    <n v="184134"/>
    <x v="0"/>
    <x v="0"/>
    <d v="2021-09-15T00:00:00"/>
    <n v="4"/>
    <x v="1"/>
    <x v="1"/>
  </r>
  <r>
    <s v="CUST0134"/>
    <s v="Sherry Guerrero"/>
    <x v="0"/>
    <x v="45"/>
    <x v="1"/>
    <x v="3"/>
    <s v="Teacher"/>
    <n v="95713"/>
    <x v="1"/>
    <x v="0"/>
    <d v="2018-07-21T00:00:00"/>
    <n v="7"/>
    <x v="2"/>
    <x v="2"/>
  </r>
  <r>
    <s v="CUST0135"/>
    <s v="Dr. Sarah Perez"/>
    <x v="0"/>
    <x v="15"/>
    <x v="0"/>
    <x v="3"/>
    <s v="Student"/>
    <n v="95418"/>
    <x v="1"/>
    <x v="1"/>
    <d v="2018-06-11T00:00:00"/>
    <n v="7"/>
    <x v="2"/>
    <x v="2"/>
  </r>
  <r>
    <s v="CUST0136"/>
    <s v="Andrea Taylor"/>
    <x v="0"/>
    <x v="29"/>
    <x v="3"/>
    <x v="3"/>
    <s v="Student"/>
    <n v="148232"/>
    <x v="0"/>
    <x v="1"/>
    <d v="2024-05-27T00:00:00"/>
    <n v="1"/>
    <x v="0"/>
    <x v="5"/>
  </r>
  <r>
    <s v="CUST0137"/>
    <s v="Jamie Perry"/>
    <x v="0"/>
    <x v="24"/>
    <x v="1"/>
    <x v="0"/>
    <s v="Doctor"/>
    <n v="185904"/>
    <x v="0"/>
    <x v="0"/>
    <d v="2019-05-09T00:00:00"/>
    <n v="6"/>
    <x v="1"/>
    <x v="6"/>
  </r>
  <r>
    <s v="CUST0138"/>
    <s v="Jacqueline Murphy"/>
    <x v="0"/>
    <x v="36"/>
    <x v="0"/>
    <x v="3"/>
    <s v="Retired"/>
    <n v="183038"/>
    <x v="0"/>
    <x v="0"/>
    <d v="2017-03-23T00:00:00"/>
    <n v="8"/>
    <x v="2"/>
    <x v="4"/>
  </r>
  <r>
    <s v="CUST0139"/>
    <s v="Julie Lynch"/>
    <x v="0"/>
    <x v="40"/>
    <x v="1"/>
    <x v="3"/>
    <s v="Trader"/>
    <n v="164059"/>
    <x v="0"/>
    <x v="0"/>
    <d v="2024-11-23T00:00:00"/>
    <n v="0"/>
    <x v="0"/>
    <x v="5"/>
  </r>
  <r>
    <s v="CUST0140"/>
    <s v="Corey Wilson"/>
    <x v="0"/>
    <x v="48"/>
    <x v="2"/>
    <x v="0"/>
    <s v="Engineer"/>
    <n v="188383"/>
    <x v="0"/>
    <x v="1"/>
    <d v="2018-09-28T00:00:00"/>
    <n v="7"/>
    <x v="2"/>
    <x v="2"/>
  </r>
  <r>
    <s v="CUST0141"/>
    <s v="Nicole Huynh"/>
    <x v="1"/>
    <x v="14"/>
    <x v="3"/>
    <x v="1"/>
    <s v="Banker"/>
    <n v="51575"/>
    <x v="2"/>
    <x v="1"/>
    <d v="2018-08-14T00:00:00"/>
    <n v="7"/>
    <x v="2"/>
    <x v="2"/>
  </r>
  <r>
    <s v="CUST0142"/>
    <s v="Charles Chapman"/>
    <x v="0"/>
    <x v="42"/>
    <x v="3"/>
    <x v="0"/>
    <s v="Retired"/>
    <n v="83852"/>
    <x v="1"/>
    <x v="0"/>
    <d v="2024-09-25T00:00:00"/>
    <n v="1"/>
    <x v="0"/>
    <x v="5"/>
  </r>
  <r>
    <s v="CUST0143"/>
    <s v="Jamie Spencer"/>
    <x v="1"/>
    <x v="50"/>
    <x v="1"/>
    <x v="3"/>
    <s v="Retired"/>
    <n v="152079"/>
    <x v="0"/>
    <x v="0"/>
    <d v="2021-11-28T00:00:00"/>
    <n v="3"/>
    <x v="1"/>
    <x v="1"/>
  </r>
  <r>
    <s v="CUST0144"/>
    <s v="Philip Ochoa"/>
    <x v="1"/>
    <x v="11"/>
    <x v="3"/>
    <x v="0"/>
    <s v="Doctor"/>
    <n v="96242"/>
    <x v="1"/>
    <x v="0"/>
    <d v="2017-12-15T00:00:00"/>
    <n v="7"/>
    <x v="2"/>
    <x v="4"/>
  </r>
  <r>
    <s v="CUST0145"/>
    <s v="Albert Jones"/>
    <x v="1"/>
    <x v="43"/>
    <x v="3"/>
    <x v="1"/>
    <s v="Teacher"/>
    <n v="198589"/>
    <x v="0"/>
    <x v="0"/>
    <d v="2019-05-03T00:00:00"/>
    <n v="6"/>
    <x v="1"/>
    <x v="6"/>
  </r>
  <r>
    <s v="CUST0146"/>
    <s v="Veronica Mullins"/>
    <x v="0"/>
    <x v="48"/>
    <x v="2"/>
    <x v="0"/>
    <s v="Teacher"/>
    <n v="49257"/>
    <x v="2"/>
    <x v="0"/>
    <d v="2020-07-17T00:00:00"/>
    <n v="5"/>
    <x v="1"/>
    <x v="9"/>
  </r>
  <r>
    <s v="CUST0147"/>
    <s v="Christina Wood"/>
    <x v="0"/>
    <x v="37"/>
    <x v="0"/>
    <x v="3"/>
    <s v="Doctor"/>
    <n v="193279"/>
    <x v="0"/>
    <x v="2"/>
    <d v="2020-02-27T00:00:00"/>
    <n v="5"/>
    <x v="1"/>
    <x v="9"/>
  </r>
  <r>
    <s v="CUST0148"/>
    <s v="Thomas Fowler"/>
    <x v="0"/>
    <x v="35"/>
    <x v="0"/>
    <x v="1"/>
    <s v="Student"/>
    <n v="164353"/>
    <x v="0"/>
    <x v="0"/>
    <d v="2018-08-25T00:00:00"/>
    <n v="7"/>
    <x v="2"/>
    <x v="2"/>
  </r>
  <r>
    <s v="CUST0149"/>
    <s v="Nicholas Hicks"/>
    <x v="0"/>
    <x v="18"/>
    <x v="1"/>
    <x v="2"/>
    <s v="Teacher"/>
    <n v="81246"/>
    <x v="1"/>
    <x v="1"/>
    <d v="2022-11-28T00:00:00"/>
    <n v="2"/>
    <x v="0"/>
    <x v="8"/>
  </r>
  <r>
    <s v="CUST0150"/>
    <s v="Abigail Allen"/>
    <x v="1"/>
    <x v="18"/>
    <x v="1"/>
    <x v="3"/>
    <s v="Trader"/>
    <n v="21435"/>
    <x v="3"/>
    <x v="0"/>
    <d v="2020-07-03T00:00:00"/>
    <n v="5"/>
    <x v="1"/>
    <x v="9"/>
  </r>
  <r>
    <s v="CUST0151"/>
    <s v="Makayla Sawyer"/>
    <x v="0"/>
    <x v="22"/>
    <x v="3"/>
    <x v="1"/>
    <s v="Engineer"/>
    <n v="111357"/>
    <x v="0"/>
    <x v="0"/>
    <d v="2020-04-28T00:00:00"/>
    <n v="5"/>
    <x v="1"/>
    <x v="9"/>
  </r>
  <r>
    <s v="CUST0152"/>
    <s v="Eric Gomez"/>
    <x v="0"/>
    <x v="0"/>
    <x v="0"/>
    <x v="1"/>
    <s v="Retired"/>
    <n v="177732"/>
    <x v="0"/>
    <x v="1"/>
    <d v="2018-11-05T00:00:00"/>
    <n v="7"/>
    <x v="2"/>
    <x v="2"/>
  </r>
  <r>
    <s v="CUST0153"/>
    <s v="Patrick Pope"/>
    <x v="0"/>
    <x v="23"/>
    <x v="1"/>
    <x v="2"/>
    <s v="Retired"/>
    <n v="156156"/>
    <x v="0"/>
    <x v="1"/>
    <d v="2015-12-27T00:00:00"/>
    <n v="9"/>
    <x v="2"/>
    <x v="10"/>
  </r>
  <r>
    <s v="CUST0154"/>
    <s v="Kristen Ross"/>
    <x v="0"/>
    <x v="30"/>
    <x v="1"/>
    <x v="0"/>
    <s v="Trader"/>
    <n v="164579"/>
    <x v="0"/>
    <x v="2"/>
    <d v="2015-10-03T00:00:00"/>
    <n v="10"/>
    <x v="2"/>
    <x v="10"/>
  </r>
  <r>
    <s v="CUST0155"/>
    <s v="James Ewing DDS"/>
    <x v="0"/>
    <x v="3"/>
    <x v="1"/>
    <x v="0"/>
    <s v="Teacher"/>
    <n v="103807"/>
    <x v="0"/>
    <x v="0"/>
    <d v="2023-12-04T00:00:00"/>
    <n v="1"/>
    <x v="0"/>
    <x v="0"/>
  </r>
  <r>
    <s v="CUST0156"/>
    <s v="Sara Morris"/>
    <x v="1"/>
    <x v="50"/>
    <x v="1"/>
    <x v="3"/>
    <s v="Retired"/>
    <n v="196611"/>
    <x v="0"/>
    <x v="0"/>
    <d v="2022-10-16T00:00:00"/>
    <n v="3"/>
    <x v="1"/>
    <x v="8"/>
  </r>
  <r>
    <s v="CUST0157"/>
    <s v="Samantha Conway"/>
    <x v="0"/>
    <x v="45"/>
    <x v="1"/>
    <x v="2"/>
    <s v="Banker"/>
    <n v="135953"/>
    <x v="0"/>
    <x v="1"/>
    <d v="2018-03-13T00:00:00"/>
    <n v="7"/>
    <x v="2"/>
    <x v="2"/>
  </r>
  <r>
    <s v="CUST0158"/>
    <s v="Michael Ward"/>
    <x v="1"/>
    <x v="2"/>
    <x v="0"/>
    <x v="0"/>
    <s v="Engineer"/>
    <n v="158563"/>
    <x v="0"/>
    <x v="0"/>
    <d v="2025-04-27T00:00:00"/>
    <n v="0"/>
    <x v="0"/>
    <x v="7"/>
  </r>
  <r>
    <s v="CUST0159"/>
    <s v="Stacey Poole"/>
    <x v="0"/>
    <x v="53"/>
    <x v="0"/>
    <x v="2"/>
    <s v="Engineer"/>
    <n v="143797"/>
    <x v="0"/>
    <x v="0"/>
    <d v="2018-04-10T00:00:00"/>
    <n v="7"/>
    <x v="2"/>
    <x v="2"/>
  </r>
  <r>
    <s v="CUST0160"/>
    <s v="Rachel Rivera PhD"/>
    <x v="1"/>
    <x v="9"/>
    <x v="3"/>
    <x v="0"/>
    <s v="Retired"/>
    <n v="83888"/>
    <x v="1"/>
    <x v="0"/>
    <d v="2015-11-06T00:00:00"/>
    <n v="10"/>
    <x v="2"/>
    <x v="10"/>
  </r>
  <r>
    <s v="CUST0161"/>
    <s v="David Sanders"/>
    <x v="0"/>
    <x v="48"/>
    <x v="2"/>
    <x v="1"/>
    <s v="Doctor"/>
    <n v="93609"/>
    <x v="1"/>
    <x v="0"/>
    <d v="2021-02-25T00:00:00"/>
    <n v="4"/>
    <x v="1"/>
    <x v="1"/>
  </r>
  <r>
    <s v="CUST0162"/>
    <s v="Lauren Lutz"/>
    <x v="0"/>
    <x v="30"/>
    <x v="1"/>
    <x v="0"/>
    <s v="Retired"/>
    <n v="29077"/>
    <x v="3"/>
    <x v="1"/>
    <d v="2015-09-01T00:00:00"/>
    <n v="10"/>
    <x v="2"/>
    <x v="10"/>
  </r>
  <r>
    <s v="CUST0163"/>
    <s v="Nathan Taylor"/>
    <x v="1"/>
    <x v="41"/>
    <x v="1"/>
    <x v="2"/>
    <s v="Doctor"/>
    <n v="40953"/>
    <x v="2"/>
    <x v="0"/>
    <d v="2022-08-16T00:00:00"/>
    <n v="3"/>
    <x v="1"/>
    <x v="8"/>
  </r>
  <r>
    <s v="CUST0164"/>
    <s v="Hannah Brown"/>
    <x v="1"/>
    <x v="43"/>
    <x v="3"/>
    <x v="1"/>
    <s v="Retired"/>
    <n v="134682"/>
    <x v="0"/>
    <x v="0"/>
    <d v="2021-03-02T00:00:00"/>
    <n v="4"/>
    <x v="1"/>
    <x v="1"/>
  </r>
  <r>
    <s v="CUST0165"/>
    <s v="Jeffrey Golden"/>
    <x v="1"/>
    <x v="8"/>
    <x v="1"/>
    <x v="1"/>
    <s v="Banker"/>
    <n v="87889"/>
    <x v="1"/>
    <x v="0"/>
    <d v="2023-09-03T00:00:00"/>
    <n v="2"/>
    <x v="0"/>
    <x v="0"/>
  </r>
  <r>
    <s v="CUST0166"/>
    <s v="Julian Thomas"/>
    <x v="0"/>
    <x v="53"/>
    <x v="0"/>
    <x v="1"/>
    <s v="Student"/>
    <n v="174893"/>
    <x v="0"/>
    <x v="0"/>
    <d v="2016-03-02T00:00:00"/>
    <n v="9"/>
    <x v="2"/>
    <x v="3"/>
  </r>
  <r>
    <s v="CUST0167"/>
    <s v="Paula Brown"/>
    <x v="1"/>
    <x v="51"/>
    <x v="0"/>
    <x v="2"/>
    <s v="Engineer"/>
    <n v="188639"/>
    <x v="0"/>
    <x v="0"/>
    <d v="2024-07-19T00:00:00"/>
    <n v="1"/>
    <x v="0"/>
    <x v="5"/>
  </r>
  <r>
    <s v="CUST0168"/>
    <s v="Whitney Hampton"/>
    <x v="0"/>
    <x v="1"/>
    <x v="1"/>
    <x v="3"/>
    <s v="Retired"/>
    <n v="135374"/>
    <x v="0"/>
    <x v="0"/>
    <d v="2019-11-17T00:00:00"/>
    <n v="5"/>
    <x v="1"/>
    <x v="6"/>
  </r>
  <r>
    <s v="CUST0169"/>
    <s v="Timothy Lyons"/>
    <x v="0"/>
    <x v="33"/>
    <x v="2"/>
    <x v="3"/>
    <s v="Banker"/>
    <n v="44860"/>
    <x v="2"/>
    <x v="0"/>
    <d v="2025-02-26T00:00:00"/>
    <n v="0"/>
    <x v="0"/>
    <x v="7"/>
  </r>
  <r>
    <s v="CUST0170"/>
    <s v="Mason Swanson"/>
    <x v="1"/>
    <x v="52"/>
    <x v="3"/>
    <x v="3"/>
    <s v="Doctor"/>
    <n v="172267"/>
    <x v="0"/>
    <x v="1"/>
    <d v="2022-11-22T00:00:00"/>
    <n v="2"/>
    <x v="0"/>
    <x v="8"/>
  </r>
  <r>
    <s v="CUST0171"/>
    <s v="Wendy Hull"/>
    <x v="1"/>
    <x v="48"/>
    <x v="2"/>
    <x v="2"/>
    <s v="Doctor"/>
    <n v="97475"/>
    <x v="1"/>
    <x v="0"/>
    <d v="2016-06-11T00:00:00"/>
    <n v="9"/>
    <x v="2"/>
    <x v="3"/>
  </r>
  <r>
    <s v="CUST0172"/>
    <s v="Kevin Castillo"/>
    <x v="0"/>
    <x v="31"/>
    <x v="3"/>
    <x v="1"/>
    <s v="Engineer"/>
    <n v="107266"/>
    <x v="0"/>
    <x v="0"/>
    <d v="2020-06-06T00:00:00"/>
    <n v="5"/>
    <x v="1"/>
    <x v="9"/>
  </r>
  <r>
    <s v="CUST0173"/>
    <s v="David Wilson"/>
    <x v="0"/>
    <x v="49"/>
    <x v="2"/>
    <x v="3"/>
    <s v="Trader"/>
    <n v="172499"/>
    <x v="0"/>
    <x v="1"/>
    <d v="2021-11-01T00:00:00"/>
    <n v="4"/>
    <x v="1"/>
    <x v="1"/>
  </r>
  <r>
    <s v="CUST0174"/>
    <s v="Evan Holt"/>
    <x v="1"/>
    <x v="35"/>
    <x v="0"/>
    <x v="2"/>
    <s v="Retired"/>
    <n v="120732"/>
    <x v="0"/>
    <x v="1"/>
    <d v="2019-10-29T00:00:00"/>
    <n v="6"/>
    <x v="1"/>
    <x v="6"/>
  </r>
  <r>
    <s v="CUST0175"/>
    <s v="Nancy Hoffman"/>
    <x v="1"/>
    <x v="12"/>
    <x v="0"/>
    <x v="3"/>
    <s v="Teacher"/>
    <n v="47083"/>
    <x v="2"/>
    <x v="0"/>
    <d v="2017-11-07T00:00:00"/>
    <n v="7"/>
    <x v="2"/>
    <x v="4"/>
  </r>
  <r>
    <s v="CUST0176"/>
    <s v="Barbara Fisher"/>
    <x v="1"/>
    <x v="35"/>
    <x v="0"/>
    <x v="0"/>
    <s v="Doctor"/>
    <n v="77372"/>
    <x v="1"/>
    <x v="0"/>
    <d v="2015-10-15T00:00:00"/>
    <n v="10"/>
    <x v="2"/>
    <x v="10"/>
  </r>
  <r>
    <s v="CUST0177"/>
    <s v="Chad Walsh"/>
    <x v="0"/>
    <x v="25"/>
    <x v="3"/>
    <x v="3"/>
    <s v="Student"/>
    <n v="143786"/>
    <x v="0"/>
    <x v="0"/>
    <d v="2024-09-03T00:00:00"/>
    <n v="1"/>
    <x v="0"/>
    <x v="5"/>
  </r>
  <r>
    <s v="CUST0178"/>
    <s v="Joseph Wiley"/>
    <x v="0"/>
    <x v="16"/>
    <x v="2"/>
    <x v="3"/>
    <s v="Student"/>
    <n v="195136"/>
    <x v="0"/>
    <x v="1"/>
    <d v="2024-12-16T00:00:00"/>
    <n v="0"/>
    <x v="0"/>
    <x v="5"/>
  </r>
  <r>
    <s v="CUST0179"/>
    <s v="Deborah Fisher"/>
    <x v="0"/>
    <x v="42"/>
    <x v="3"/>
    <x v="1"/>
    <s v="Doctor"/>
    <n v="27813"/>
    <x v="3"/>
    <x v="2"/>
    <d v="2017-03-09T00:00:00"/>
    <n v="8"/>
    <x v="2"/>
    <x v="4"/>
  </r>
  <r>
    <s v="CUST0180"/>
    <s v="Krista Williams"/>
    <x v="0"/>
    <x v="40"/>
    <x v="1"/>
    <x v="2"/>
    <s v="Trader"/>
    <n v="51598"/>
    <x v="2"/>
    <x v="1"/>
    <d v="2025-02-16T00:00:00"/>
    <n v="0"/>
    <x v="0"/>
    <x v="7"/>
  </r>
  <r>
    <s v="CUST0181"/>
    <s v="Terry Mercer"/>
    <x v="0"/>
    <x v="1"/>
    <x v="1"/>
    <x v="1"/>
    <s v="Trader"/>
    <n v="113106"/>
    <x v="0"/>
    <x v="0"/>
    <d v="2016-01-18T00:00:00"/>
    <n v="9"/>
    <x v="2"/>
    <x v="3"/>
  </r>
  <r>
    <s v="CUST0182"/>
    <s v="Katie Padilla"/>
    <x v="0"/>
    <x v="17"/>
    <x v="1"/>
    <x v="1"/>
    <s v="Banker"/>
    <n v="47082"/>
    <x v="2"/>
    <x v="1"/>
    <d v="2025-07-05T00:00:00"/>
    <n v="0"/>
    <x v="0"/>
    <x v="7"/>
  </r>
  <r>
    <s v="CUST0183"/>
    <s v="Victor Thomas"/>
    <x v="1"/>
    <x v="32"/>
    <x v="0"/>
    <x v="1"/>
    <s v="Student"/>
    <n v="49241"/>
    <x v="2"/>
    <x v="0"/>
    <d v="2018-04-12T00:00:00"/>
    <n v="7"/>
    <x v="2"/>
    <x v="2"/>
  </r>
  <r>
    <s v="CUST0184"/>
    <s v="Christopher Willis"/>
    <x v="0"/>
    <x v="12"/>
    <x v="0"/>
    <x v="1"/>
    <s v="Banker"/>
    <n v="195641"/>
    <x v="0"/>
    <x v="0"/>
    <d v="2022-08-02T00:00:00"/>
    <n v="3"/>
    <x v="1"/>
    <x v="8"/>
  </r>
  <r>
    <s v="CUST0185"/>
    <s v="Laura Watkins"/>
    <x v="0"/>
    <x v="37"/>
    <x v="0"/>
    <x v="1"/>
    <s v="Student"/>
    <n v="31745"/>
    <x v="2"/>
    <x v="0"/>
    <d v="2024-05-10T00:00:00"/>
    <n v="1"/>
    <x v="0"/>
    <x v="5"/>
  </r>
  <r>
    <s v="CUST0186"/>
    <s v="Eric Lopez"/>
    <x v="0"/>
    <x v="13"/>
    <x v="3"/>
    <x v="3"/>
    <s v="Retired"/>
    <n v="46029"/>
    <x v="2"/>
    <x v="2"/>
    <d v="2017-05-26T00:00:00"/>
    <n v="8"/>
    <x v="2"/>
    <x v="4"/>
  </r>
  <r>
    <s v="CUST0187"/>
    <s v="Jillian Rangel"/>
    <x v="1"/>
    <x v="26"/>
    <x v="1"/>
    <x v="1"/>
    <s v="Retired"/>
    <n v="164097"/>
    <x v="0"/>
    <x v="0"/>
    <d v="2023-06-24T00:00:00"/>
    <n v="2"/>
    <x v="0"/>
    <x v="0"/>
  </r>
  <r>
    <s v="CUST0188"/>
    <s v="Kristopher Fletcher"/>
    <x v="0"/>
    <x v="3"/>
    <x v="1"/>
    <x v="1"/>
    <s v="Teacher"/>
    <n v="143395"/>
    <x v="0"/>
    <x v="1"/>
    <d v="2023-10-12T00:00:00"/>
    <n v="2"/>
    <x v="0"/>
    <x v="0"/>
  </r>
  <r>
    <s v="CUST0189"/>
    <s v="Ryan Doyle"/>
    <x v="0"/>
    <x v="3"/>
    <x v="1"/>
    <x v="2"/>
    <s v="Retired"/>
    <n v="165360"/>
    <x v="0"/>
    <x v="0"/>
    <d v="2024-08-31T00:00:00"/>
    <n v="1"/>
    <x v="0"/>
    <x v="5"/>
  </r>
  <r>
    <s v="CUST0190"/>
    <s v="Cesar Silva"/>
    <x v="1"/>
    <x v="38"/>
    <x v="3"/>
    <x v="0"/>
    <s v="Teacher"/>
    <n v="109186"/>
    <x v="0"/>
    <x v="0"/>
    <d v="2017-09-30T00:00:00"/>
    <n v="8"/>
    <x v="2"/>
    <x v="4"/>
  </r>
  <r>
    <s v="CUST0191"/>
    <s v="Nicholas Miller"/>
    <x v="0"/>
    <x v="21"/>
    <x v="3"/>
    <x v="3"/>
    <s v="Retired"/>
    <n v="157612"/>
    <x v="0"/>
    <x v="0"/>
    <d v="2019-11-11T00:00:00"/>
    <n v="5"/>
    <x v="1"/>
    <x v="6"/>
  </r>
  <r>
    <s v="CUST0192"/>
    <s v="Kim Hubbard"/>
    <x v="0"/>
    <x v="45"/>
    <x v="1"/>
    <x v="3"/>
    <s v="Engineer"/>
    <n v="117768"/>
    <x v="0"/>
    <x v="0"/>
    <d v="2025-08-22T00:00:00"/>
    <n v="0"/>
    <x v="0"/>
    <x v="7"/>
  </r>
  <r>
    <s v="CUST0193"/>
    <s v="Robert Roberts"/>
    <x v="0"/>
    <x v="37"/>
    <x v="0"/>
    <x v="3"/>
    <s v="Retired"/>
    <n v="61846"/>
    <x v="1"/>
    <x v="1"/>
    <d v="2020-12-04T00:00:00"/>
    <n v="4"/>
    <x v="1"/>
    <x v="9"/>
  </r>
  <r>
    <s v="CUST0194"/>
    <s v="Oscar Young"/>
    <x v="0"/>
    <x v="4"/>
    <x v="2"/>
    <x v="1"/>
    <s v="Banker"/>
    <n v="95932"/>
    <x v="1"/>
    <x v="0"/>
    <d v="2024-06-03T00:00:00"/>
    <n v="1"/>
    <x v="0"/>
    <x v="5"/>
  </r>
  <r>
    <s v="CUST0195"/>
    <s v="Mark Mckenzie"/>
    <x v="0"/>
    <x v="33"/>
    <x v="2"/>
    <x v="1"/>
    <s v="Doctor"/>
    <n v="168554"/>
    <x v="0"/>
    <x v="1"/>
    <d v="2015-09-22T00:00:00"/>
    <n v="10"/>
    <x v="2"/>
    <x v="10"/>
  </r>
  <r>
    <s v="CUST0196"/>
    <s v="Victoria Montoya"/>
    <x v="1"/>
    <x v="3"/>
    <x v="1"/>
    <x v="1"/>
    <s v="Banker"/>
    <n v="43411"/>
    <x v="2"/>
    <x v="1"/>
    <d v="2019-05-27T00:00:00"/>
    <n v="6"/>
    <x v="1"/>
    <x v="6"/>
  </r>
  <r>
    <s v="CUST0197"/>
    <s v="Evelyn Mendoza"/>
    <x v="1"/>
    <x v="10"/>
    <x v="1"/>
    <x v="2"/>
    <s v="Doctor"/>
    <n v="98797"/>
    <x v="1"/>
    <x v="2"/>
    <d v="2016-02-02T00:00:00"/>
    <n v="9"/>
    <x v="2"/>
    <x v="3"/>
  </r>
  <r>
    <s v="CUST0198"/>
    <s v="Sarah Santiago"/>
    <x v="1"/>
    <x v="53"/>
    <x v="0"/>
    <x v="0"/>
    <s v="Trader"/>
    <n v="72307"/>
    <x v="1"/>
    <x v="0"/>
    <d v="2020-04-24T00:00:00"/>
    <n v="5"/>
    <x v="1"/>
    <x v="9"/>
  </r>
  <r>
    <s v="CUST0199"/>
    <s v="Gerald Robinson"/>
    <x v="0"/>
    <x v="21"/>
    <x v="3"/>
    <x v="1"/>
    <s v="Banker"/>
    <n v="154165"/>
    <x v="0"/>
    <x v="0"/>
    <d v="2018-01-18T00:00:00"/>
    <n v="7"/>
    <x v="2"/>
    <x v="2"/>
  </r>
  <r>
    <s v="CUST0200"/>
    <s v="Ryan Gill"/>
    <x v="0"/>
    <x v="47"/>
    <x v="3"/>
    <x v="0"/>
    <s v="Trader"/>
    <n v="42042"/>
    <x v="2"/>
    <x v="0"/>
    <d v="2024-03-14T00:00:00"/>
    <n v="1"/>
    <x v="0"/>
    <x v="5"/>
  </r>
  <r>
    <s v="CUST0201"/>
    <s v="Gary Johnson"/>
    <x v="0"/>
    <x v="24"/>
    <x v="1"/>
    <x v="2"/>
    <s v="Teacher"/>
    <n v="72930"/>
    <x v="1"/>
    <x v="2"/>
    <d v="2017-08-24T00:00:00"/>
    <n v="8"/>
    <x v="2"/>
    <x v="4"/>
  </r>
  <r>
    <s v="CUST0202"/>
    <s v="Jason Johnson"/>
    <x v="1"/>
    <x v="27"/>
    <x v="0"/>
    <x v="3"/>
    <s v="Teacher"/>
    <n v="195485"/>
    <x v="0"/>
    <x v="2"/>
    <d v="2019-03-13T00:00:00"/>
    <n v="6"/>
    <x v="1"/>
    <x v="6"/>
  </r>
  <r>
    <s v="CUST0203"/>
    <s v="Dr. Caitlyn Durham"/>
    <x v="0"/>
    <x v="37"/>
    <x v="0"/>
    <x v="1"/>
    <s v="Engineer"/>
    <n v="117883"/>
    <x v="0"/>
    <x v="0"/>
    <d v="2024-08-21T00:00:00"/>
    <n v="1"/>
    <x v="0"/>
    <x v="5"/>
  </r>
  <r>
    <s v="CUST0204"/>
    <s v="Robert Gonzalez"/>
    <x v="0"/>
    <x v="8"/>
    <x v="1"/>
    <x v="0"/>
    <s v="Retired"/>
    <n v="53756"/>
    <x v="2"/>
    <x v="1"/>
    <d v="2016-06-12T00:00:00"/>
    <n v="9"/>
    <x v="2"/>
    <x v="3"/>
  </r>
  <r>
    <s v="CUST0205"/>
    <s v="Bryan Allen"/>
    <x v="1"/>
    <x v="11"/>
    <x v="3"/>
    <x v="0"/>
    <s v="Banker"/>
    <n v="73268"/>
    <x v="1"/>
    <x v="0"/>
    <d v="2024-10-22T00:00:00"/>
    <n v="1"/>
    <x v="0"/>
    <x v="5"/>
  </r>
  <r>
    <s v="CUST0206"/>
    <s v="Daniel Richardson"/>
    <x v="0"/>
    <x v="16"/>
    <x v="2"/>
    <x v="1"/>
    <s v="Trader"/>
    <n v="190286"/>
    <x v="0"/>
    <x v="1"/>
    <d v="2020-03-28T00:00:00"/>
    <n v="5"/>
    <x v="1"/>
    <x v="9"/>
  </r>
  <r>
    <s v="CUST0207"/>
    <s v="Christopher Wise"/>
    <x v="1"/>
    <x v="38"/>
    <x v="3"/>
    <x v="3"/>
    <s v="Doctor"/>
    <n v="179674"/>
    <x v="0"/>
    <x v="0"/>
    <d v="2018-11-27T00:00:00"/>
    <n v="6"/>
    <x v="1"/>
    <x v="2"/>
  </r>
  <r>
    <s v="CUST0208"/>
    <s v="Leslie Ashley"/>
    <x v="1"/>
    <x v="13"/>
    <x v="3"/>
    <x v="3"/>
    <s v="Teacher"/>
    <n v="68901"/>
    <x v="1"/>
    <x v="1"/>
    <d v="2022-03-24T00:00:00"/>
    <n v="3"/>
    <x v="1"/>
    <x v="8"/>
  </r>
  <r>
    <s v="CUST0209"/>
    <s v="Lauren Davidson"/>
    <x v="1"/>
    <x v="26"/>
    <x v="1"/>
    <x v="3"/>
    <s v="Retired"/>
    <n v="119986"/>
    <x v="0"/>
    <x v="0"/>
    <d v="2020-04-14T00:00:00"/>
    <n v="5"/>
    <x v="1"/>
    <x v="9"/>
  </r>
  <r>
    <s v="CUST0210"/>
    <s v="Joanne Ray"/>
    <x v="0"/>
    <x v="2"/>
    <x v="0"/>
    <x v="2"/>
    <s v="Teacher"/>
    <n v="183268"/>
    <x v="0"/>
    <x v="1"/>
    <d v="2019-10-04T00:00:00"/>
    <n v="6"/>
    <x v="1"/>
    <x v="6"/>
  </r>
  <r>
    <s v="CUST0211"/>
    <s v="Ryan Mccormick"/>
    <x v="0"/>
    <x v="19"/>
    <x v="0"/>
    <x v="0"/>
    <s v="Doctor"/>
    <n v="148386"/>
    <x v="0"/>
    <x v="1"/>
    <d v="2020-02-20T00:00:00"/>
    <n v="5"/>
    <x v="1"/>
    <x v="9"/>
  </r>
  <r>
    <s v="CUST0212"/>
    <s v="Stephen Russell"/>
    <x v="0"/>
    <x v="18"/>
    <x v="1"/>
    <x v="0"/>
    <s v="Retired"/>
    <n v="25626"/>
    <x v="3"/>
    <x v="1"/>
    <d v="2019-01-12T00:00:00"/>
    <n v="6"/>
    <x v="1"/>
    <x v="6"/>
  </r>
  <r>
    <s v="CUST0213"/>
    <s v="Nathan Blackburn"/>
    <x v="0"/>
    <x v="34"/>
    <x v="2"/>
    <x v="0"/>
    <s v="Retired"/>
    <n v="158496"/>
    <x v="0"/>
    <x v="0"/>
    <d v="2017-08-26T00:00:00"/>
    <n v="8"/>
    <x v="2"/>
    <x v="4"/>
  </r>
  <r>
    <s v="CUST0214"/>
    <s v="Sarah Wilson"/>
    <x v="0"/>
    <x v="24"/>
    <x v="1"/>
    <x v="2"/>
    <s v="Trader"/>
    <n v="32857"/>
    <x v="2"/>
    <x v="0"/>
    <d v="2022-08-26T00:00:00"/>
    <n v="3"/>
    <x v="1"/>
    <x v="8"/>
  </r>
  <r>
    <s v="CUST0215"/>
    <s v="Cassandra Mcbride"/>
    <x v="0"/>
    <x v="18"/>
    <x v="1"/>
    <x v="0"/>
    <s v="Trader"/>
    <n v="171054"/>
    <x v="0"/>
    <x v="0"/>
    <d v="2020-02-16T00:00:00"/>
    <n v="5"/>
    <x v="1"/>
    <x v="9"/>
  </r>
  <r>
    <s v="CUST0216"/>
    <s v="Abigail Gallegos"/>
    <x v="0"/>
    <x v="53"/>
    <x v="0"/>
    <x v="2"/>
    <s v="Banker"/>
    <n v="153052"/>
    <x v="0"/>
    <x v="0"/>
    <d v="2015-11-03T00:00:00"/>
    <n v="10"/>
    <x v="2"/>
    <x v="10"/>
  </r>
  <r>
    <s v="CUST0217"/>
    <s v="Jeremy Brown"/>
    <x v="1"/>
    <x v="18"/>
    <x v="1"/>
    <x v="3"/>
    <s v="Banker"/>
    <n v="199362"/>
    <x v="0"/>
    <x v="0"/>
    <d v="2023-06-06T00:00:00"/>
    <n v="2"/>
    <x v="0"/>
    <x v="0"/>
  </r>
  <r>
    <s v="CUST0218"/>
    <s v="Samantha Castro"/>
    <x v="0"/>
    <x v="41"/>
    <x v="1"/>
    <x v="1"/>
    <s v="Student"/>
    <n v="46431"/>
    <x v="2"/>
    <x v="2"/>
    <d v="2016-08-04T00:00:00"/>
    <n v="9"/>
    <x v="2"/>
    <x v="3"/>
  </r>
  <r>
    <s v="CUST0219"/>
    <s v="Nathaniel Hudson"/>
    <x v="1"/>
    <x v="38"/>
    <x v="3"/>
    <x v="0"/>
    <s v="Student"/>
    <n v="104976"/>
    <x v="0"/>
    <x v="0"/>
    <d v="2019-09-11T00:00:00"/>
    <n v="6"/>
    <x v="1"/>
    <x v="6"/>
  </r>
  <r>
    <s v="CUST0220"/>
    <s v="Maria Herman"/>
    <x v="0"/>
    <x v="54"/>
    <x v="3"/>
    <x v="0"/>
    <s v="Engineer"/>
    <n v="102711"/>
    <x v="0"/>
    <x v="0"/>
    <d v="2024-05-15T00:00:00"/>
    <n v="1"/>
    <x v="0"/>
    <x v="5"/>
  </r>
  <r>
    <s v="CUST0221"/>
    <s v="Timothy Walters"/>
    <x v="0"/>
    <x v="28"/>
    <x v="2"/>
    <x v="3"/>
    <s v="Teacher"/>
    <n v="46385"/>
    <x v="2"/>
    <x v="0"/>
    <d v="2017-11-07T00:00:00"/>
    <n v="7"/>
    <x v="2"/>
    <x v="4"/>
  </r>
  <r>
    <s v="CUST0222"/>
    <s v="Mrs. Carrie Castro"/>
    <x v="0"/>
    <x v="49"/>
    <x v="2"/>
    <x v="1"/>
    <s v="Banker"/>
    <n v="189230"/>
    <x v="0"/>
    <x v="0"/>
    <d v="2024-07-22T00:00:00"/>
    <n v="1"/>
    <x v="0"/>
    <x v="5"/>
  </r>
  <r>
    <s v="CUST0223"/>
    <s v="Chad White"/>
    <x v="1"/>
    <x v="46"/>
    <x v="3"/>
    <x v="2"/>
    <s v="Trader"/>
    <n v="174091"/>
    <x v="0"/>
    <x v="1"/>
    <d v="2016-01-09T00:00:00"/>
    <n v="9"/>
    <x v="2"/>
    <x v="3"/>
  </r>
  <r>
    <s v="CUST0224"/>
    <s v="Karen Lam"/>
    <x v="1"/>
    <x v="13"/>
    <x v="3"/>
    <x v="1"/>
    <s v="Doctor"/>
    <n v="38639"/>
    <x v="2"/>
    <x v="0"/>
    <d v="2016-10-10T00:00:00"/>
    <n v="9"/>
    <x v="2"/>
    <x v="3"/>
  </r>
  <r>
    <s v="CUST0225"/>
    <s v="Sarah Walton"/>
    <x v="1"/>
    <x v="31"/>
    <x v="3"/>
    <x v="3"/>
    <s v="Trader"/>
    <n v="105530"/>
    <x v="0"/>
    <x v="2"/>
    <d v="2017-12-01T00:00:00"/>
    <n v="7"/>
    <x v="2"/>
    <x v="4"/>
  </r>
  <r>
    <s v="CUST0226"/>
    <s v="Theodore Mckinney"/>
    <x v="1"/>
    <x v="55"/>
    <x v="0"/>
    <x v="3"/>
    <s v="Teacher"/>
    <n v="41563"/>
    <x v="2"/>
    <x v="0"/>
    <d v="2024-04-05T00:00:00"/>
    <n v="1"/>
    <x v="0"/>
    <x v="5"/>
  </r>
  <r>
    <s v="CUST0227"/>
    <s v="Sharon Chapman"/>
    <x v="0"/>
    <x v="24"/>
    <x v="1"/>
    <x v="1"/>
    <s v="Student"/>
    <n v="190413"/>
    <x v="0"/>
    <x v="2"/>
    <d v="2017-05-18T00:00:00"/>
    <n v="8"/>
    <x v="2"/>
    <x v="4"/>
  </r>
  <r>
    <s v="CUST0228"/>
    <s v="Melinda Cunningham"/>
    <x v="1"/>
    <x v="52"/>
    <x v="3"/>
    <x v="2"/>
    <s v="Trader"/>
    <n v="135672"/>
    <x v="0"/>
    <x v="1"/>
    <d v="2019-01-14T00:00:00"/>
    <n v="6"/>
    <x v="1"/>
    <x v="6"/>
  </r>
  <r>
    <s v="CUST0229"/>
    <s v="Luke Lamb"/>
    <x v="0"/>
    <x v="30"/>
    <x v="1"/>
    <x v="2"/>
    <s v="Engineer"/>
    <n v="156848"/>
    <x v="0"/>
    <x v="0"/>
    <d v="2022-08-13T00:00:00"/>
    <n v="3"/>
    <x v="1"/>
    <x v="8"/>
  </r>
  <r>
    <s v="CUST0230"/>
    <s v="Ryan Holt"/>
    <x v="0"/>
    <x v="6"/>
    <x v="1"/>
    <x v="0"/>
    <s v="Teacher"/>
    <n v="187516"/>
    <x v="0"/>
    <x v="2"/>
    <d v="2018-03-25T00:00:00"/>
    <n v="7"/>
    <x v="2"/>
    <x v="2"/>
  </r>
  <r>
    <s v="CUST0231"/>
    <s v="Andrew Payne"/>
    <x v="1"/>
    <x v="0"/>
    <x v="0"/>
    <x v="2"/>
    <s v="Student"/>
    <n v="159783"/>
    <x v="0"/>
    <x v="0"/>
    <d v="2023-01-11T00:00:00"/>
    <n v="2"/>
    <x v="0"/>
    <x v="0"/>
  </r>
  <r>
    <s v="CUST0232"/>
    <s v="Misty Jacobs"/>
    <x v="1"/>
    <x v="29"/>
    <x v="3"/>
    <x v="1"/>
    <s v="Doctor"/>
    <n v="102970"/>
    <x v="0"/>
    <x v="1"/>
    <d v="2018-08-23T00:00:00"/>
    <n v="7"/>
    <x v="2"/>
    <x v="2"/>
  </r>
  <r>
    <s v="CUST0233"/>
    <s v="Kenneth Harrington"/>
    <x v="1"/>
    <x v="30"/>
    <x v="1"/>
    <x v="3"/>
    <s v="Student"/>
    <n v="105553"/>
    <x v="0"/>
    <x v="0"/>
    <d v="2017-07-16T00:00:00"/>
    <n v="8"/>
    <x v="2"/>
    <x v="4"/>
  </r>
  <r>
    <s v="CUST0234"/>
    <s v="Ryan Glass"/>
    <x v="1"/>
    <x v="53"/>
    <x v="0"/>
    <x v="0"/>
    <s v="Retired"/>
    <n v="181779"/>
    <x v="0"/>
    <x v="1"/>
    <d v="2017-08-29T00:00:00"/>
    <n v="8"/>
    <x v="2"/>
    <x v="4"/>
  </r>
  <r>
    <s v="CUST0235"/>
    <s v="Stephanie Valdez"/>
    <x v="1"/>
    <x v="45"/>
    <x v="1"/>
    <x v="0"/>
    <s v="Engineer"/>
    <n v="190182"/>
    <x v="0"/>
    <x v="1"/>
    <d v="2023-04-17T00:00:00"/>
    <n v="2"/>
    <x v="0"/>
    <x v="0"/>
  </r>
  <r>
    <s v="CUST0236"/>
    <s v="Patrick Ortiz"/>
    <x v="1"/>
    <x v="20"/>
    <x v="0"/>
    <x v="3"/>
    <s v="Teacher"/>
    <n v="102879"/>
    <x v="0"/>
    <x v="1"/>
    <d v="2017-05-11T00:00:00"/>
    <n v="8"/>
    <x v="2"/>
    <x v="4"/>
  </r>
  <r>
    <s v="CUST0237"/>
    <s v="Nicholas Washington"/>
    <x v="1"/>
    <x v="12"/>
    <x v="0"/>
    <x v="2"/>
    <s v="Doctor"/>
    <n v="189899"/>
    <x v="0"/>
    <x v="1"/>
    <d v="2024-10-14T00:00:00"/>
    <n v="1"/>
    <x v="0"/>
    <x v="5"/>
  </r>
  <r>
    <s v="CUST0238"/>
    <s v="Crystal Melton"/>
    <x v="1"/>
    <x v="26"/>
    <x v="1"/>
    <x v="3"/>
    <s v="Engineer"/>
    <n v="156727"/>
    <x v="0"/>
    <x v="0"/>
    <d v="2020-10-04T00:00:00"/>
    <n v="5"/>
    <x v="1"/>
    <x v="9"/>
  </r>
  <r>
    <s v="CUST0239"/>
    <s v="Daniel Williams"/>
    <x v="0"/>
    <x v="42"/>
    <x v="3"/>
    <x v="2"/>
    <s v="Student"/>
    <n v="64859"/>
    <x v="1"/>
    <x v="0"/>
    <d v="2024-11-05T00:00:00"/>
    <n v="1"/>
    <x v="0"/>
    <x v="5"/>
  </r>
  <r>
    <s v="CUST0240"/>
    <s v="James Park"/>
    <x v="1"/>
    <x v="26"/>
    <x v="1"/>
    <x v="3"/>
    <s v="Engineer"/>
    <n v="72098"/>
    <x v="1"/>
    <x v="0"/>
    <d v="2021-12-14T00:00:00"/>
    <n v="3"/>
    <x v="1"/>
    <x v="1"/>
  </r>
  <r>
    <s v="CUST0241"/>
    <s v="Jeff Coleman"/>
    <x v="1"/>
    <x v="22"/>
    <x v="3"/>
    <x v="1"/>
    <s v="Teacher"/>
    <n v="166323"/>
    <x v="0"/>
    <x v="0"/>
    <d v="2024-05-08T00:00:00"/>
    <n v="1"/>
    <x v="0"/>
    <x v="5"/>
  </r>
  <r>
    <s v="CUST0242"/>
    <s v="Dustin Young"/>
    <x v="0"/>
    <x v="30"/>
    <x v="1"/>
    <x v="2"/>
    <s v="Banker"/>
    <n v="142413"/>
    <x v="0"/>
    <x v="1"/>
    <d v="2022-03-02T00:00:00"/>
    <n v="3"/>
    <x v="1"/>
    <x v="8"/>
  </r>
  <r>
    <s v="CUST0243"/>
    <s v="Richard Johnson"/>
    <x v="1"/>
    <x v="5"/>
    <x v="0"/>
    <x v="1"/>
    <s v="Engineer"/>
    <n v="20526"/>
    <x v="3"/>
    <x v="0"/>
    <d v="2019-08-11T00:00:00"/>
    <n v="6"/>
    <x v="1"/>
    <x v="6"/>
  </r>
  <r>
    <s v="CUST0244"/>
    <s v="Timothy Wolf"/>
    <x v="0"/>
    <x v="42"/>
    <x v="3"/>
    <x v="0"/>
    <s v="Retired"/>
    <n v="88760"/>
    <x v="1"/>
    <x v="2"/>
    <d v="2022-12-27T00:00:00"/>
    <n v="2"/>
    <x v="0"/>
    <x v="8"/>
  </r>
  <r>
    <s v="CUST0245"/>
    <s v="Kenneth Garza"/>
    <x v="0"/>
    <x v="23"/>
    <x v="1"/>
    <x v="3"/>
    <s v="Engineer"/>
    <n v="67837"/>
    <x v="1"/>
    <x v="1"/>
    <d v="2018-10-22T00:00:00"/>
    <n v="7"/>
    <x v="2"/>
    <x v="2"/>
  </r>
  <r>
    <s v="CUST0246"/>
    <s v="Joshua Best"/>
    <x v="1"/>
    <x v="1"/>
    <x v="1"/>
    <x v="0"/>
    <s v="Student"/>
    <n v="31536"/>
    <x v="2"/>
    <x v="1"/>
    <d v="2018-01-13T00:00:00"/>
    <n v="7"/>
    <x v="2"/>
    <x v="2"/>
  </r>
  <r>
    <s v="CUST0247"/>
    <s v="Charles Wilson"/>
    <x v="0"/>
    <x v="12"/>
    <x v="0"/>
    <x v="0"/>
    <s v="Student"/>
    <n v="48541"/>
    <x v="2"/>
    <x v="0"/>
    <d v="2021-03-02T00:00:00"/>
    <n v="4"/>
    <x v="1"/>
    <x v="1"/>
  </r>
  <r>
    <s v="CUST0248"/>
    <s v="Andre Bridges"/>
    <x v="0"/>
    <x v="2"/>
    <x v="0"/>
    <x v="0"/>
    <s v="Doctor"/>
    <n v="99083"/>
    <x v="1"/>
    <x v="1"/>
    <d v="2023-09-10T00:00:00"/>
    <n v="2"/>
    <x v="0"/>
    <x v="0"/>
  </r>
  <r>
    <s v="CUST0249"/>
    <s v="Dana Buchanan"/>
    <x v="0"/>
    <x v="1"/>
    <x v="1"/>
    <x v="0"/>
    <s v="Student"/>
    <n v="54531"/>
    <x v="2"/>
    <x v="2"/>
    <d v="2021-01-07T00:00:00"/>
    <n v="4"/>
    <x v="1"/>
    <x v="1"/>
  </r>
  <r>
    <s v="CUST0250"/>
    <s v="James Hardy"/>
    <x v="0"/>
    <x v="45"/>
    <x v="1"/>
    <x v="3"/>
    <s v="Trader"/>
    <n v="28712"/>
    <x v="3"/>
    <x v="0"/>
    <d v="2018-07-13T00:00:00"/>
    <n v="7"/>
    <x v="2"/>
    <x v="2"/>
  </r>
  <r>
    <s v="CUST0251"/>
    <s v="Danny Scott"/>
    <x v="1"/>
    <x v="37"/>
    <x v="0"/>
    <x v="0"/>
    <s v="Teacher"/>
    <n v="124101"/>
    <x v="0"/>
    <x v="1"/>
    <d v="2024-05-10T00:00:00"/>
    <n v="1"/>
    <x v="0"/>
    <x v="5"/>
  </r>
  <r>
    <s v="CUST0252"/>
    <s v="Justin Krause"/>
    <x v="0"/>
    <x v="42"/>
    <x v="3"/>
    <x v="3"/>
    <s v="Teacher"/>
    <n v="85455"/>
    <x v="1"/>
    <x v="1"/>
    <d v="2023-06-01T00:00:00"/>
    <n v="2"/>
    <x v="0"/>
    <x v="0"/>
  </r>
  <r>
    <s v="CUST0253"/>
    <s v="Mike Walker"/>
    <x v="1"/>
    <x v="25"/>
    <x v="3"/>
    <x v="3"/>
    <s v="Banker"/>
    <n v="94744"/>
    <x v="1"/>
    <x v="0"/>
    <d v="2018-08-11T00:00:00"/>
    <n v="7"/>
    <x v="2"/>
    <x v="2"/>
  </r>
  <r>
    <s v="CUST0254"/>
    <s v="James Wilkinson"/>
    <x v="0"/>
    <x v="27"/>
    <x v="0"/>
    <x v="1"/>
    <s v="Banker"/>
    <n v="149749"/>
    <x v="0"/>
    <x v="0"/>
    <d v="2017-07-14T00:00:00"/>
    <n v="8"/>
    <x v="2"/>
    <x v="4"/>
  </r>
  <r>
    <s v="CUST0255"/>
    <s v="Nathaniel Wolf"/>
    <x v="0"/>
    <x v="2"/>
    <x v="0"/>
    <x v="2"/>
    <s v="Teacher"/>
    <n v="25109"/>
    <x v="3"/>
    <x v="0"/>
    <d v="2016-10-30T00:00:00"/>
    <n v="9"/>
    <x v="2"/>
    <x v="3"/>
  </r>
  <r>
    <s v="CUST0256"/>
    <s v="Robert Cooper"/>
    <x v="0"/>
    <x v="6"/>
    <x v="1"/>
    <x v="2"/>
    <s v="Retired"/>
    <n v="69268"/>
    <x v="1"/>
    <x v="0"/>
    <d v="2020-09-07T00:00:00"/>
    <n v="5"/>
    <x v="1"/>
    <x v="9"/>
  </r>
  <r>
    <s v="CUST0257"/>
    <s v="Lisa Stevens"/>
    <x v="0"/>
    <x v="26"/>
    <x v="1"/>
    <x v="3"/>
    <s v="Banker"/>
    <n v="74615"/>
    <x v="1"/>
    <x v="0"/>
    <d v="2017-08-06T00:00:00"/>
    <n v="8"/>
    <x v="2"/>
    <x v="4"/>
  </r>
  <r>
    <s v="CUST0258"/>
    <s v="Susan Thompson"/>
    <x v="1"/>
    <x v="54"/>
    <x v="3"/>
    <x v="1"/>
    <s v="Doctor"/>
    <n v="102503"/>
    <x v="0"/>
    <x v="0"/>
    <d v="2025-06-11T00:00:00"/>
    <n v="0"/>
    <x v="0"/>
    <x v="7"/>
  </r>
  <r>
    <s v="CUST0259"/>
    <s v="Jennifer Bell"/>
    <x v="1"/>
    <x v="50"/>
    <x v="1"/>
    <x v="3"/>
    <s v="Student"/>
    <n v="180831"/>
    <x v="0"/>
    <x v="0"/>
    <d v="2020-10-11T00:00:00"/>
    <n v="5"/>
    <x v="1"/>
    <x v="9"/>
  </r>
  <r>
    <s v="CUST0260"/>
    <s v="Nicholas Stone"/>
    <x v="0"/>
    <x v="19"/>
    <x v="0"/>
    <x v="3"/>
    <s v="Teacher"/>
    <n v="105708"/>
    <x v="0"/>
    <x v="0"/>
    <d v="2022-01-27T00:00:00"/>
    <n v="3"/>
    <x v="1"/>
    <x v="8"/>
  </r>
  <r>
    <s v="CUST0261"/>
    <s v="John Craig"/>
    <x v="0"/>
    <x v="42"/>
    <x v="3"/>
    <x v="3"/>
    <s v="Banker"/>
    <n v="122471"/>
    <x v="0"/>
    <x v="2"/>
    <d v="2019-10-06T00:00:00"/>
    <n v="6"/>
    <x v="1"/>
    <x v="6"/>
  </r>
  <r>
    <s v="CUST0262"/>
    <s v="Joy Lopez"/>
    <x v="1"/>
    <x v="32"/>
    <x v="0"/>
    <x v="1"/>
    <s v="Teacher"/>
    <n v="177661"/>
    <x v="0"/>
    <x v="0"/>
    <d v="2024-08-12T00:00:00"/>
    <n v="1"/>
    <x v="0"/>
    <x v="5"/>
  </r>
  <r>
    <s v="CUST0263"/>
    <s v="Kristi Adams"/>
    <x v="0"/>
    <x v="22"/>
    <x v="3"/>
    <x v="2"/>
    <s v="Trader"/>
    <n v="181087"/>
    <x v="0"/>
    <x v="2"/>
    <d v="2019-12-30T00:00:00"/>
    <n v="5"/>
    <x v="1"/>
    <x v="6"/>
  </r>
  <r>
    <s v="CUST0264"/>
    <s v="Kevin Tapia"/>
    <x v="0"/>
    <x v="6"/>
    <x v="1"/>
    <x v="1"/>
    <s v="Engineer"/>
    <n v="180081"/>
    <x v="0"/>
    <x v="0"/>
    <d v="2015-10-20T00:00:00"/>
    <n v="10"/>
    <x v="2"/>
    <x v="10"/>
  </r>
  <r>
    <s v="CUST0265"/>
    <s v="Mr. Carlos Wood"/>
    <x v="0"/>
    <x v="15"/>
    <x v="0"/>
    <x v="0"/>
    <s v="Student"/>
    <n v="103309"/>
    <x v="0"/>
    <x v="0"/>
    <d v="2020-09-28T00:00:00"/>
    <n v="5"/>
    <x v="1"/>
    <x v="9"/>
  </r>
  <r>
    <s v="CUST0266"/>
    <s v="Maria Everett"/>
    <x v="1"/>
    <x v="27"/>
    <x v="0"/>
    <x v="1"/>
    <s v="Teacher"/>
    <n v="146446"/>
    <x v="0"/>
    <x v="0"/>
    <d v="2017-02-04T00:00:00"/>
    <n v="8"/>
    <x v="2"/>
    <x v="4"/>
  </r>
  <r>
    <s v="CUST0267"/>
    <s v="Nicholas Cherry"/>
    <x v="1"/>
    <x v="51"/>
    <x v="0"/>
    <x v="1"/>
    <s v="Engineer"/>
    <n v="126661"/>
    <x v="0"/>
    <x v="0"/>
    <d v="2021-08-29T00:00:00"/>
    <n v="4"/>
    <x v="1"/>
    <x v="1"/>
  </r>
  <r>
    <s v="CUST0268"/>
    <s v="Derek Gardner"/>
    <x v="1"/>
    <x v="42"/>
    <x v="3"/>
    <x v="1"/>
    <s v="Banker"/>
    <n v="177215"/>
    <x v="0"/>
    <x v="0"/>
    <d v="2019-12-20T00:00:00"/>
    <n v="5"/>
    <x v="1"/>
    <x v="6"/>
  </r>
  <r>
    <s v="CUST0269"/>
    <s v="Ashley Harper"/>
    <x v="0"/>
    <x v="30"/>
    <x v="1"/>
    <x v="1"/>
    <s v="Engineer"/>
    <n v="26154"/>
    <x v="3"/>
    <x v="1"/>
    <d v="2018-02-19T00:00:00"/>
    <n v="7"/>
    <x v="2"/>
    <x v="2"/>
  </r>
  <r>
    <s v="CUST0270"/>
    <s v="Sarah Taylor"/>
    <x v="0"/>
    <x v="37"/>
    <x v="0"/>
    <x v="2"/>
    <s v="Student"/>
    <n v="172876"/>
    <x v="0"/>
    <x v="0"/>
    <d v="2017-01-02T00:00:00"/>
    <n v="8"/>
    <x v="2"/>
    <x v="4"/>
  </r>
  <r>
    <s v="CUST0271"/>
    <s v="Keith Hendrix"/>
    <x v="1"/>
    <x v="54"/>
    <x v="3"/>
    <x v="0"/>
    <s v="Teacher"/>
    <n v="192760"/>
    <x v="0"/>
    <x v="1"/>
    <d v="2023-05-05T00:00:00"/>
    <n v="2"/>
    <x v="0"/>
    <x v="0"/>
  </r>
  <r>
    <s v="CUST0272"/>
    <s v="Seth Fritz"/>
    <x v="1"/>
    <x v="51"/>
    <x v="0"/>
    <x v="2"/>
    <s v="Trader"/>
    <n v="84288"/>
    <x v="1"/>
    <x v="1"/>
    <d v="2020-02-29T00:00:00"/>
    <n v="5"/>
    <x v="1"/>
    <x v="9"/>
  </r>
  <r>
    <s v="CUST0273"/>
    <s v="Thomas Luna"/>
    <x v="1"/>
    <x v="37"/>
    <x v="0"/>
    <x v="2"/>
    <s v="Retired"/>
    <n v="71195"/>
    <x v="1"/>
    <x v="0"/>
    <d v="2020-06-26T00:00:00"/>
    <n v="5"/>
    <x v="1"/>
    <x v="9"/>
  </r>
  <r>
    <s v="CUST0274"/>
    <s v="Megan Allen"/>
    <x v="1"/>
    <x v="20"/>
    <x v="0"/>
    <x v="1"/>
    <s v="Banker"/>
    <n v="40581"/>
    <x v="2"/>
    <x v="0"/>
    <d v="2024-09-24T00:00:00"/>
    <n v="1"/>
    <x v="0"/>
    <x v="5"/>
  </r>
  <r>
    <s v="CUST0275"/>
    <s v="Todd Moore"/>
    <x v="0"/>
    <x v="28"/>
    <x v="2"/>
    <x v="3"/>
    <s v="Teacher"/>
    <n v="50087"/>
    <x v="2"/>
    <x v="1"/>
    <d v="2019-11-06T00:00:00"/>
    <n v="6"/>
    <x v="1"/>
    <x v="6"/>
  </r>
  <r>
    <s v="CUST0276"/>
    <s v="Rebecca Bailey"/>
    <x v="1"/>
    <x v="40"/>
    <x v="1"/>
    <x v="3"/>
    <s v="Student"/>
    <n v="184053"/>
    <x v="0"/>
    <x v="0"/>
    <d v="2020-10-18T00:00:00"/>
    <n v="5"/>
    <x v="1"/>
    <x v="9"/>
  </r>
  <r>
    <s v="CUST0277"/>
    <s v="Brandon Bennett"/>
    <x v="0"/>
    <x v="36"/>
    <x v="0"/>
    <x v="2"/>
    <s v="Banker"/>
    <n v="89298"/>
    <x v="1"/>
    <x v="0"/>
    <d v="2017-12-14T00:00:00"/>
    <n v="7"/>
    <x v="2"/>
    <x v="4"/>
  </r>
  <r>
    <s v="CUST0278"/>
    <s v="Stacy Burns"/>
    <x v="1"/>
    <x v="8"/>
    <x v="1"/>
    <x v="2"/>
    <s v="Doctor"/>
    <n v="66167"/>
    <x v="1"/>
    <x v="2"/>
    <d v="2019-02-01T00:00:00"/>
    <n v="6"/>
    <x v="1"/>
    <x v="6"/>
  </r>
  <r>
    <s v="CUST0279"/>
    <s v="Vanessa Martinez"/>
    <x v="0"/>
    <x v="43"/>
    <x v="3"/>
    <x v="1"/>
    <s v="Engineer"/>
    <n v="194480"/>
    <x v="0"/>
    <x v="0"/>
    <d v="2018-08-04T00:00:00"/>
    <n v="7"/>
    <x v="2"/>
    <x v="2"/>
  </r>
  <r>
    <s v="CUST0280"/>
    <s v="Kristy Washington"/>
    <x v="1"/>
    <x v="51"/>
    <x v="0"/>
    <x v="2"/>
    <s v="Retired"/>
    <n v="59499"/>
    <x v="2"/>
    <x v="1"/>
    <d v="2017-05-27T00:00:00"/>
    <n v="8"/>
    <x v="2"/>
    <x v="4"/>
  </r>
  <r>
    <s v="CUST0281"/>
    <s v="Dustin Zhang"/>
    <x v="1"/>
    <x v="14"/>
    <x v="3"/>
    <x v="1"/>
    <s v="Student"/>
    <n v="145816"/>
    <x v="0"/>
    <x v="2"/>
    <d v="2021-10-31T00:00:00"/>
    <n v="4"/>
    <x v="1"/>
    <x v="1"/>
  </r>
  <r>
    <s v="CUST0282"/>
    <s v="Monique Griffin"/>
    <x v="1"/>
    <x v="35"/>
    <x v="0"/>
    <x v="3"/>
    <s v="Doctor"/>
    <n v="189631"/>
    <x v="0"/>
    <x v="0"/>
    <d v="2017-05-25T00:00:00"/>
    <n v="8"/>
    <x v="2"/>
    <x v="4"/>
  </r>
  <r>
    <s v="CUST0283"/>
    <s v="Kristen Spencer"/>
    <x v="1"/>
    <x v="46"/>
    <x v="3"/>
    <x v="3"/>
    <s v="Teacher"/>
    <n v="116347"/>
    <x v="0"/>
    <x v="0"/>
    <d v="2017-01-19T00:00:00"/>
    <n v="8"/>
    <x v="2"/>
    <x v="4"/>
  </r>
  <r>
    <s v="CUST0284"/>
    <s v="Robert Clay"/>
    <x v="0"/>
    <x v="48"/>
    <x v="2"/>
    <x v="0"/>
    <s v="Trader"/>
    <n v="68787"/>
    <x v="1"/>
    <x v="0"/>
    <d v="2015-10-28T00:00:00"/>
    <n v="10"/>
    <x v="2"/>
    <x v="10"/>
  </r>
  <r>
    <s v="CUST0285"/>
    <s v="Kristen Nguyen"/>
    <x v="1"/>
    <x v="26"/>
    <x v="1"/>
    <x v="3"/>
    <s v="Banker"/>
    <n v="55488"/>
    <x v="2"/>
    <x v="0"/>
    <d v="2021-02-22T00:00:00"/>
    <n v="4"/>
    <x v="1"/>
    <x v="1"/>
  </r>
  <r>
    <s v="CUST0286"/>
    <s v="Melanie Butler"/>
    <x v="0"/>
    <x v="37"/>
    <x v="0"/>
    <x v="2"/>
    <s v="Engineer"/>
    <n v="94441"/>
    <x v="1"/>
    <x v="0"/>
    <d v="2020-01-26T00:00:00"/>
    <n v="5"/>
    <x v="1"/>
    <x v="9"/>
  </r>
  <r>
    <s v="CUST0287"/>
    <s v="Tanner Davidson"/>
    <x v="0"/>
    <x v="6"/>
    <x v="1"/>
    <x v="3"/>
    <s v="Banker"/>
    <n v="42431"/>
    <x v="2"/>
    <x v="1"/>
    <d v="2025-04-22T00:00:00"/>
    <n v="0"/>
    <x v="0"/>
    <x v="7"/>
  </r>
  <r>
    <s v="CUST0288"/>
    <s v="Richard Mcdonald"/>
    <x v="0"/>
    <x v="43"/>
    <x v="3"/>
    <x v="1"/>
    <s v="Retired"/>
    <n v="81681"/>
    <x v="1"/>
    <x v="0"/>
    <d v="2022-10-22T00:00:00"/>
    <n v="3"/>
    <x v="1"/>
    <x v="8"/>
  </r>
  <r>
    <s v="CUST0289"/>
    <s v="Kelly Dennis"/>
    <x v="0"/>
    <x v="0"/>
    <x v="0"/>
    <x v="3"/>
    <s v="Teacher"/>
    <n v="142720"/>
    <x v="0"/>
    <x v="0"/>
    <d v="2021-03-10T00:00:00"/>
    <n v="4"/>
    <x v="1"/>
    <x v="1"/>
  </r>
  <r>
    <s v="CUST0290"/>
    <s v="Kimberly Anderson"/>
    <x v="1"/>
    <x v="30"/>
    <x v="1"/>
    <x v="0"/>
    <s v="Banker"/>
    <n v="69153"/>
    <x v="1"/>
    <x v="2"/>
    <d v="2016-09-04T00:00:00"/>
    <n v="9"/>
    <x v="2"/>
    <x v="3"/>
  </r>
  <r>
    <s v="CUST0291"/>
    <s v="Sherry Watson"/>
    <x v="0"/>
    <x v="46"/>
    <x v="3"/>
    <x v="3"/>
    <s v="Engineer"/>
    <n v="26368"/>
    <x v="3"/>
    <x v="1"/>
    <d v="2019-02-03T00:00:00"/>
    <n v="6"/>
    <x v="1"/>
    <x v="6"/>
  </r>
  <r>
    <s v="CUST0292"/>
    <s v="Tony Dunn"/>
    <x v="0"/>
    <x v="2"/>
    <x v="0"/>
    <x v="1"/>
    <s v="Teacher"/>
    <n v="178496"/>
    <x v="0"/>
    <x v="1"/>
    <d v="2022-11-28T00:00:00"/>
    <n v="2"/>
    <x v="0"/>
    <x v="8"/>
  </r>
  <r>
    <s v="CUST0293"/>
    <s v="Adam Welch"/>
    <x v="0"/>
    <x v="35"/>
    <x v="0"/>
    <x v="1"/>
    <s v="Banker"/>
    <n v="132360"/>
    <x v="0"/>
    <x v="0"/>
    <d v="2016-10-31T00:00:00"/>
    <n v="9"/>
    <x v="2"/>
    <x v="3"/>
  </r>
  <r>
    <s v="CUST0294"/>
    <s v="Vicki Andersen"/>
    <x v="1"/>
    <x v="29"/>
    <x v="3"/>
    <x v="2"/>
    <s v="Trader"/>
    <n v="196076"/>
    <x v="0"/>
    <x v="1"/>
    <d v="2018-08-23T00:00:00"/>
    <n v="7"/>
    <x v="2"/>
    <x v="2"/>
  </r>
  <r>
    <s v="CUST0295"/>
    <s v="Donna Clark"/>
    <x v="1"/>
    <x v="23"/>
    <x v="1"/>
    <x v="3"/>
    <s v="Student"/>
    <n v="132755"/>
    <x v="0"/>
    <x v="0"/>
    <d v="2016-05-20T00:00:00"/>
    <n v="9"/>
    <x v="2"/>
    <x v="3"/>
  </r>
  <r>
    <s v="CUST0296"/>
    <s v="Ronald Meyer"/>
    <x v="1"/>
    <x v="31"/>
    <x v="3"/>
    <x v="1"/>
    <s v="Teacher"/>
    <n v="76985"/>
    <x v="1"/>
    <x v="0"/>
    <d v="2022-03-26T00:00:00"/>
    <n v="3"/>
    <x v="1"/>
    <x v="8"/>
  </r>
  <r>
    <s v="CUST0297"/>
    <s v="Jeffery James"/>
    <x v="1"/>
    <x v="46"/>
    <x v="3"/>
    <x v="0"/>
    <s v="Student"/>
    <n v="70069"/>
    <x v="1"/>
    <x v="0"/>
    <d v="2022-10-28T00:00:00"/>
    <n v="3"/>
    <x v="1"/>
    <x v="8"/>
  </r>
  <r>
    <s v="CUST0298"/>
    <s v="Heather Rodriguez"/>
    <x v="0"/>
    <x v="7"/>
    <x v="3"/>
    <x v="2"/>
    <s v="Teacher"/>
    <n v="72326"/>
    <x v="1"/>
    <x v="1"/>
    <d v="2017-07-06T00:00:00"/>
    <n v="8"/>
    <x v="2"/>
    <x v="4"/>
  </r>
  <r>
    <s v="CUST0299"/>
    <s v="Luis Werner"/>
    <x v="0"/>
    <x v="23"/>
    <x v="1"/>
    <x v="0"/>
    <s v="Trader"/>
    <n v="128737"/>
    <x v="0"/>
    <x v="0"/>
    <d v="2023-10-01T00:00:00"/>
    <n v="2"/>
    <x v="0"/>
    <x v="0"/>
  </r>
  <r>
    <s v="CUST0300"/>
    <s v="Stephanie Khan"/>
    <x v="1"/>
    <x v="36"/>
    <x v="0"/>
    <x v="3"/>
    <s v="Student"/>
    <n v="174470"/>
    <x v="0"/>
    <x v="0"/>
    <d v="2024-04-20T00:00:00"/>
    <n v="1"/>
    <x v="0"/>
    <x v="5"/>
  </r>
  <r>
    <s v="CUST0301"/>
    <s v="Regina Schultz"/>
    <x v="0"/>
    <x v="8"/>
    <x v="1"/>
    <x v="3"/>
    <s v="Doctor"/>
    <n v="70861"/>
    <x v="1"/>
    <x v="0"/>
    <d v="2024-02-12T00:00:00"/>
    <n v="1"/>
    <x v="0"/>
    <x v="5"/>
  </r>
  <r>
    <s v="CUST0302"/>
    <s v="Austin James"/>
    <x v="0"/>
    <x v="48"/>
    <x v="2"/>
    <x v="3"/>
    <s v="Engineer"/>
    <n v="95897"/>
    <x v="1"/>
    <x v="0"/>
    <d v="2021-10-04T00:00:00"/>
    <n v="4"/>
    <x v="1"/>
    <x v="1"/>
  </r>
  <r>
    <s v="CUST0303"/>
    <s v="Steven Black"/>
    <x v="0"/>
    <x v="26"/>
    <x v="1"/>
    <x v="2"/>
    <s v="Doctor"/>
    <n v="147118"/>
    <x v="0"/>
    <x v="1"/>
    <d v="2023-01-31T00:00:00"/>
    <n v="2"/>
    <x v="0"/>
    <x v="0"/>
  </r>
  <r>
    <s v="CUST0304"/>
    <s v="Linda Hansen"/>
    <x v="1"/>
    <x v="2"/>
    <x v="0"/>
    <x v="1"/>
    <s v="Banker"/>
    <n v="88577"/>
    <x v="1"/>
    <x v="1"/>
    <d v="2018-05-31T00:00:00"/>
    <n v="7"/>
    <x v="2"/>
    <x v="2"/>
  </r>
  <r>
    <s v="CUST0305"/>
    <s v="Erica Perez"/>
    <x v="1"/>
    <x v="24"/>
    <x v="1"/>
    <x v="2"/>
    <s v="Trader"/>
    <n v="29078"/>
    <x v="3"/>
    <x v="1"/>
    <d v="2017-11-02T00:00:00"/>
    <n v="8"/>
    <x v="2"/>
    <x v="4"/>
  </r>
  <r>
    <s v="CUST0306"/>
    <s v="Marco Hartman"/>
    <x v="0"/>
    <x v="21"/>
    <x v="3"/>
    <x v="0"/>
    <s v="Doctor"/>
    <n v="176075"/>
    <x v="0"/>
    <x v="0"/>
    <d v="2018-06-10T00:00:00"/>
    <n v="7"/>
    <x v="2"/>
    <x v="2"/>
  </r>
  <r>
    <s v="CUST0307"/>
    <s v="Angela Garcia"/>
    <x v="1"/>
    <x v="55"/>
    <x v="0"/>
    <x v="2"/>
    <s v="Teacher"/>
    <n v="82768"/>
    <x v="1"/>
    <x v="0"/>
    <d v="2015-10-16T00:00:00"/>
    <n v="10"/>
    <x v="2"/>
    <x v="10"/>
  </r>
  <r>
    <s v="CUST0308"/>
    <s v="Daniel Miller"/>
    <x v="1"/>
    <x v="5"/>
    <x v="0"/>
    <x v="0"/>
    <s v="Banker"/>
    <n v="71047"/>
    <x v="1"/>
    <x v="0"/>
    <d v="2015-08-23T00:00:00"/>
    <n v="10"/>
    <x v="2"/>
    <x v="10"/>
  </r>
  <r>
    <s v="CUST0309"/>
    <s v="Jeanne Marquez"/>
    <x v="1"/>
    <x v="14"/>
    <x v="3"/>
    <x v="2"/>
    <s v="Banker"/>
    <n v="91626"/>
    <x v="1"/>
    <x v="0"/>
    <d v="2016-05-16T00:00:00"/>
    <n v="9"/>
    <x v="2"/>
    <x v="3"/>
  </r>
  <r>
    <s v="CUST0310"/>
    <s v="Joshua Morales"/>
    <x v="1"/>
    <x v="37"/>
    <x v="0"/>
    <x v="1"/>
    <s v="Doctor"/>
    <n v="77660"/>
    <x v="1"/>
    <x v="0"/>
    <d v="2016-12-16T00:00:00"/>
    <n v="8"/>
    <x v="2"/>
    <x v="3"/>
  </r>
  <r>
    <s v="CUST0311"/>
    <s v="Dr. Jeremy Miller"/>
    <x v="1"/>
    <x v="20"/>
    <x v="0"/>
    <x v="0"/>
    <s v="Doctor"/>
    <n v="152997"/>
    <x v="0"/>
    <x v="1"/>
    <d v="2017-05-06T00:00:00"/>
    <n v="8"/>
    <x v="2"/>
    <x v="4"/>
  </r>
  <r>
    <s v="CUST0312"/>
    <s v="Jennifer Foster"/>
    <x v="0"/>
    <x v="53"/>
    <x v="0"/>
    <x v="3"/>
    <s v="Trader"/>
    <n v="137832"/>
    <x v="0"/>
    <x v="0"/>
    <d v="2019-10-29T00:00:00"/>
    <n v="6"/>
    <x v="1"/>
    <x v="6"/>
  </r>
  <r>
    <s v="CUST0313"/>
    <s v="Amy Thornton"/>
    <x v="1"/>
    <x v="47"/>
    <x v="3"/>
    <x v="3"/>
    <s v="Engineer"/>
    <n v="150406"/>
    <x v="0"/>
    <x v="0"/>
    <d v="2019-04-11T00:00:00"/>
    <n v="6"/>
    <x v="1"/>
    <x v="6"/>
  </r>
  <r>
    <s v="CUST0314"/>
    <s v="Kenneth Vasquez"/>
    <x v="0"/>
    <x v="19"/>
    <x v="0"/>
    <x v="2"/>
    <s v="Doctor"/>
    <n v="145150"/>
    <x v="0"/>
    <x v="0"/>
    <d v="2022-06-02T00:00:00"/>
    <n v="3"/>
    <x v="1"/>
    <x v="8"/>
  </r>
  <r>
    <s v="CUST0315"/>
    <s v="Audrey Ward"/>
    <x v="0"/>
    <x v="56"/>
    <x v="1"/>
    <x v="3"/>
    <s v="Retired"/>
    <n v="177087"/>
    <x v="0"/>
    <x v="0"/>
    <d v="2025-05-17T00:00:00"/>
    <n v="0"/>
    <x v="0"/>
    <x v="7"/>
  </r>
  <r>
    <s v="CUST0316"/>
    <s v="Heather Carter"/>
    <x v="1"/>
    <x v="28"/>
    <x v="2"/>
    <x v="0"/>
    <s v="Doctor"/>
    <n v="53320"/>
    <x v="2"/>
    <x v="0"/>
    <d v="2023-05-12T00:00:00"/>
    <n v="2"/>
    <x v="0"/>
    <x v="0"/>
  </r>
  <r>
    <s v="CUST0317"/>
    <s v="Robert Hill"/>
    <x v="0"/>
    <x v="11"/>
    <x v="3"/>
    <x v="3"/>
    <s v="Student"/>
    <n v="84881"/>
    <x v="1"/>
    <x v="2"/>
    <d v="2022-03-30T00:00:00"/>
    <n v="3"/>
    <x v="1"/>
    <x v="8"/>
  </r>
  <r>
    <s v="CUST0318"/>
    <s v="Jay Gray"/>
    <x v="0"/>
    <x v="27"/>
    <x v="0"/>
    <x v="1"/>
    <s v="Teacher"/>
    <n v="110827"/>
    <x v="0"/>
    <x v="1"/>
    <d v="2016-01-12T00:00:00"/>
    <n v="9"/>
    <x v="2"/>
    <x v="3"/>
  </r>
  <r>
    <s v="CUST0319"/>
    <s v="Reginald Tapia"/>
    <x v="0"/>
    <x v="10"/>
    <x v="1"/>
    <x v="1"/>
    <s v="Retired"/>
    <n v="122215"/>
    <x v="0"/>
    <x v="2"/>
    <d v="2019-06-21T00:00:00"/>
    <n v="6"/>
    <x v="1"/>
    <x v="6"/>
  </r>
  <r>
    <s v="CUST0320"/>
    <s v="Erica Collins"/>
    <x v="1"/>
    <x v="7"/>
    <x v="3"/>
    <x v="2"/>
    <s v="Retired"/>
    <n v="177361"/>
    <x v="0"/>
    <x v="0"/>
    <d v="2023-09-16T00:00:00"/>
    <n v="2"/>
    <x v="0"/>
    <x v="0"/>
  </r>
  <r>
    <s v="CUST0321"/>
    <s v="Joseph Hunter"/>
    <x v="1"/>
    <x v="20"/>
    <x v="0"/>
    <x v="0"/>
    <s v="Student"/>
    <n v="154461"/>
    <x v="0"/>
    <x v="0"/>
    <d v="2022-12-05T00:00:00"/>
    <n v="2"/>
    <x v="0"/>
    <x v="8"/>
  </r>
  <r>
    <s v="CUST0322"/>
    <s v="Lisa Hartman"/>
    <x v="0"/>
    <x v="13"/>
    <x v="3"/>
    <x v="1"/>
    <s v="Student"/>
    <n v="176755"/>
    <x v="0"/>
    <x v="0"/>
    <d v="2019-05-28T00:00:00"/>
    <n v="6"/>
    <x v="1"/>
    <x v="6"/>
  </r>
  <r>
    <s v="CUST0323"/>
    <s v="James Hernandez"/>
    <x v="1"/>
    <x v="17"/>
    <x v="1"/>
    <x v="1"/>
    <s v="Banker"/>
    <n v="164701"/>
    <x v="0"/>
    <x v="0"/>
    <d v="2018-09-22T00:00:00"/>
    <n v="7"/>
    <x v="2"/>
    <x v="2"/>
  </r>
  <r>
    <s v="CUST0324"/>
    <s v="Erin Nelson"/>
    <x v="1"/>
    <x v="16"/>
    <x v="2"/>
    <x v="0"/>
    <s v="Engineer"/>
    <n v="81550"/>
    <x v="1"/>
    <x v="1"/>
    <d v="2017-03-23T00:00:00"/>
    <n v="8"/>
    <x v="2"/>
    <x v="4"/>
  </r>
  <r>
    <s v="CUST0325"/>
    <s v="Gregg Harris"/>
    <x v="1"/>
    <x v="48"/>
    <x v="2"/>
    <x v="3"/>
    <s v="Teacher"/>
    <n v="44826"/>
    <x v="2"/>
    <x v="0"/>
    <d v="2022-03-20T00:00:00"/>
    <n v="3"/>
    <x v="1"/>
    <x v="8"/>
  </r>
  <r>
    <s v="CUST0326"/>
    <s v="William Singleton"/>
    <x v="1"/>
    <x v="24"/>
    <x v="1"/>
    <x v="3"/>
    <s v="Trader"/>
    <n v="120734"/>
    <x v="0"/>
    <x v="0"/>
    <d v="2020-01-17T00:00:00"/>
    <n v="5"/>
    <x v="1"/>
    <x v="9"/>
  </r>
  <r>
    <s v="CUST0327"/>
    <s v="Raymond Smith"/>
    <x v="0"/>
    <x v="45"/>
    <x v="1"/>
    <x v="2"/>
    <s v="Retired"/>
    <n v="177702"/>
    <x v="0"/>
    <x v="0"/>
    <d v="2023-07-20T00:00:00"/>
    <n v="2"/>
    <x v="0"/>
    <x v="0"/>
  </r>
  <r>
    <s v="CUST0328"/>
    <s v="Brenda Brown"/>
    <x v="0"/>
    <x v="56"/>
    <x v="1"/>
    <x v="3"/>
    <s v="Trader"/>
    <n v="197235"/>
    <x v="0"/>
    <x v="0"/>
    <d v="2021-09-22T00:00:00"/>
    <n v="4"/>
    <x v="1"/>
    <x v="1"/>
  </r>
  <r>
    <s v="CUST0329"/>
    <s v="Philip Brown"/>
    <x v="1"/>
    <x v="51"/>
    <x v="0"/>
    <x v="0"/>
    <s v="Doctor"/>
    <n v="118511"/>
    <x v="0"/>
    <x v="1"/>
    <d v="2022-08-18T00:00:00"/>
    <n v="3"/>
    <x v="1"/>
    <x v="8"/>
  </r>
  <r>
    <s v="CUST0330"/>
    <s v="Jeremy Boyer"/>
    <x v="1"/>
    <x v="34"/>
    <x v="2"/>
    <x v="1"/>
    <s v="Doctor"/>
    <n v="31653"/>
    <x v="2"/>
    <x v="0"/>
    <d v="2017-04-05T00:00:00"/>
    <n v="8"/>
    <x v="2"/>
    <x v="4"/>
  </r>
  <r>
    <s v="CUST0331"/>
    <s v="Theresa Burke"/>
    <x v="0"/>
    <x v="22"/>
    <x v="3"/>
    <x v="3"/>
    <s v="Trader"/>
    <n v="179033"/>
    <x v="0"/>
    <x v="0"/>
    <d v="2019-11-07T00:00:00"/>
    <n v="5"/>
    <x v="1"/>
    <x v="6"/>
  </r>
  <r>
    <s v="CUST0332"/>
    <s v="Amber Myers"/>
    <x v="0"/>
    <x v="31"/>
    <x v="3"/>
    <x v="2"/>
    <s v="Doctor"/>
    <n v="101941"/>
    <x v="0"/>
    <x v="0"/>
    <d v="2021-09-09T00:00:00"/>
    <n v="4"/>
    <x v="1"/>
    <x v="1"/>
  </r>
  <r>
    <s v="CUST0333"/>
    <s v="Ronald Bennett"/>
    <x v="1"/>
    <x v="33"/>
    <x v="2"/>
    <x v="3"/>
    <s v="Engineer"/>
    <n v="53662"/>
    <x v="2"/>
    <x v="0"/>
    <d v="2015-12-09T00:00:00"/>
    <n v="9"/>
    <x v="2"/>
    <x v="10"/>
  </r>
  <r>
    <s v="CUST0334"/>
    <s v="Beth Mccoy"/>
    <x v="0"/>
    <x v="15"/>
    <x v="0"/>
    <x v="0"/>
    <s v="Student"/>
    <n v="118818"/>
    <x v="0"/>
    <x v="1"/>
    <d v="2019-01-29T00:00:00"/>
    <n v="6"/>
    <x v="1"/>
    <x v="6"/>
  </r>
  <r>
    <s v="CUST0335"/>
    <s v="George Ramos"/>
    <x v="1"/>
    <x v="43"/>
    <x v="3"/>
    <x v="2"/>
    <s v="Doctor"/>
    <n v="172360"/>
    <x v="0"/>
    <x v="1"/>
    <d v="2022-01-12T00:00:00"/>
    <n v="3"/>
    <x v="1"/>
    <x v="8"/>
  </r>
  <r>
    <s v="CUST0336"/>
    <s v="Kimberly Estes"/>
    <x v="1"/>
    <x v="19"/>
    <x v="0"/>
    <x v="3"/>
    <s v="Banker"/>
    <n v="115081"/>
    <x v="0"/>
    <x v="2"/>
    <d v="2017-03-23T00:00:00"/>
    <n v="8"/>
    <x v="2"/>
    <x v="4"/>
  </r>
  <r>
    <s v="CUST0337"/>
    <s v="Debbie Riley"/>
    <x v="0"/>
    <x v="28"/>
    <x v="2"/>
    <x v="2"/>
    <s v="Doctor"/>
    <n v="56877"/>
    <x v="2"/>
    <x v="1"/>
    <d v="2025-08-08T00:00:00"/>
    <n v="0"/>
    <x v="0"/>
    <x v="7"/>
  </r>
  <r>
    <s v="CUST0338"/>
    <s v="Derek Jones"/>
    <x v="0"/>
    <x v="6"/>
    <x v="1"/>
    <x v="0"/>
    <s v="Teacher"/>
    <n v="131562"/>
    <x v="0"/>
    <x v="0"/>
    <d v="2022-11-03T00:00:00"/>
    <n v="3"/>
    <x v="1"/>
    <x v="8"/>
  </r>
  <r>
    <s v="CUST0339"/>
    <s v="Susan Best"/>
    <x v="1"/>
    <x v="31"/>
    <x v="3"/>
    <x v="1"/>
    <s v="Engineer"/>
    <n v="166385"/>
    <x v="0"/>
    <x v="1"/>
    <d v="2018-06-29T00:00:00"/>
    <n v="7"/>
    <x v="2"/>
    <x v="2"/>
  </r>
  <r>
    <s v="CUST0340"/>
    <s v="Kyle Hendricks"/>
    <x v="1"/>
    <x v="49"/>
    <x v="2"/>
    <x v="0"/>
    <s v="Teacher"/>
    <n v="92715"/>
    <x v="1"/>
    <x v="0"/>
    <d v="2017-07-11T00:00:00"/>
    <n v="8"/>
    <x v="2"/>
    <x v="4"/>
  </r>
  <r>
    <s v="CUST0341"/>
    <s v="Paul Payne"/>
    <x v="0"/>
    <x v="30"/>
    <x v="1"/>
    <x v="0"/>
    <s v="Teacher"/>
    <n v="161398"/>
    <x v="0"/>
    <x v="0"/>
    <d v="2017-10-01T00:00:00"/>
    <n v="8"/>
    <x v="2"/>
    <x v="4"/>
  </r>
  <r>
    <s v="CUST0342"/>
    <s v="Perry Alvarez"/>
    <x v="1"/>
    <x v="44"/>
    <x v="2"/>
    <x v="0"/>
    <s v="Banker"/>
    <n v="130091"/>
    <x v="0"/>
    <x v="1"/>
    <d v="2023-04-01T00:00:00"/>
    <n v="2"/>
    <x v="0"/>
    <x v="0"/>
  </r>
  <r>
    <s v="CUST0343"/>
    <s v="Danielle Cox"/>
    <x v="0"/>
    <x v="8"/>
    <x v="1"/>
    <x v="0"/>
    <s v="Engineer"/>
    <n v="152632"/>
    <x v="0"/>
    <x v="0"/>
    <d v="2018-02-23T00:00:00"/>
    <n v="7"/>
    <x v="2"/>
    <x v="2"/>
  </r>
  <r>
    <s v="CUST0344"/>
    <s v="Christian Mendez"/>
    <x v="1"/>
    <x v="51"/>
    <x v="0"/>
    <x v="1"/>
    <s v="Engineer"/>
    <n v="99148"/>
    <x v="1"/>
    <x v="2"/>
    <d v="2017-11-13T00:00:00"/>
    <n v="7"/>
    <x v="2"/>
    <x v="4"/>
  </r>
  <r>
    <s v="CUST0345"/>
    <s v="Alicia Day"/>
    <x v="0"/>
    <x v="47"/>
    <x v="3"/>
    <x v="1"/>
    <s v="Engineer"/>
    <n v="103186"/>
    <x v="0"/>
    <x v="0"/>
    <d v="2019-08-27T00:00:00"/>
    <n v="6"/>
    <x v="1"/>
    <x v="6"/>
  </r>
  <r>
    <s v="CUST0346"/>
    <s v="Nathan Smith"/>
    <x v="0"/>
    <x v="9"/>
    <x v="3"/>
    <x v="2"/>
    <s v="Engineer"/>
    <n v="177817"/>
    <x v="0"/>
    <x v="1"/>
    <d v="2022-05-28T00:00:00"/>
    <n v="3"/>
    <x v="1"/>
    <x v="8"/>
  </r>
  <r>
    <s v="CUST0347"/>
    <s v="Oscar Ortiz"/>
    <x v="0"/>
    <x v="23"/>
    <x v="1"/>
    <x v="3"/>
    <s v="Engineer"/>
    <n v="182962"/>
    <x v="0"/>
    <x v="1"/>
    <d v="2024-09-25T00:00:00"/>
    <n v="1"/>
    <x v="0"/>
    <x v="5"/>
  </r>
  <r>
    <s v="CUST0348"/>
    <s v="Jenna Cochran"/>
    <x v="1"/>
    <x v="17"/>
    <x v="1"/>
    <x v="1"/>
    <s v="Banker"/>
    <n v="171094"/>
    <x v="0"/>
    <x v="1"/>
    <d v="2019-01-20T00:00:00"/>
    <n v="6"/>
    <x v="1"/>
    <x v="6"/>
  </r>
  <r>
    <s v="CUST0349"/>
    <s v="Christopher Spencer"/>
    <x v="1"/>
    <x v="53"/>
    <x v="0"/>
    <x v="1"/>
    <s v="Doctor"/>
    <n v="143629"/>
    <x v="0"/>
    <x v="1"/>
    <d v="2025-08-19T00:00:00"/>
    <n v="0"/>
    <x v="0"/>
    <x v="7"/>
  </r>
  <r>
    <s v="CUST0350"/>
    <s v="Brandon Fox DDS"/>
    <x v="0"/>
    <x v="18"/>
    <x v="1"/>
    <x v="3"/>
    <s v="Teacher"/>
    <n v="90316"/>
    <x v="1"/>
    <x v="1"/>
    <d v="2022-12-31T00:00:00"/>
    <n v="2"/>
    <x v="0"/>
    <x v="8"/>
  </r>
  <r>
    <s v="CUST0351"/>
    <s v="Alexander Davis"/>
    <x v="1"/>
    <x v="51"/>
    <x v="0"/>
    <x v="1"/>
    <s v="Engineer"/>
    <n v="48380"/>
    <x v="2"/>
    <x v="0"/>
    <d v="2021-02-14T00:00:00"/>
    <n v="4"/>
    <x v="1"/>
    <x v="1"/>
  </r>
  <r>
    <s v="CUST0352"/>
    <s v="Steven Gilbert"/>
    <x v="0"/>
    <x v="23"/>
    <x v="1"/>
    <x v="0"/>
    <s v="Retired"/>
    <n v="130198"/>
    <x v="0"/>
    <x v="0"/>
    <d v="2020-05-22T00:00:00"/>
    <n v="5"/>
    <x v="1"/>
    <x v="9"/>
  </r>
  <r>
    <s v="CUST0353"/>
    <s v="Mrs. Valerie Dunlap MD"/>
    <x v="0"/>
    <x v="4"/>
    <x v="2"/>
    <x v="0"/>
    <s v="Doctor"/>
    <n v="22356"/>
    <x v="3"/>
    <x v="0"/>
    <d v="2019-09-19T00:00:00"/>
    <n v="6"/>
    <x v="1"/>
    <x v="6"/>
  </r>
  <r>
    <s v="CUST0354"/>
    <s v="Kathleen Richardson"/>
    <x v="1"/>
    <x v="31"/>
    <x v="3"/>
    <x v="3"/>
    <s v="Doctor"/>
    <n v="90326"/>
    <x v="1"/>
    <x v="1"/>
    <d v="2019-10-20T00:00:00"/>
    <n v="6"/>
    <x v="1"/>
    <x v="6"/>
  </r>
  <r>
    <s v="CUST0355"/>
    <s v="Rebecca Doyle"/>
    <x v="1"/>
    <x v="27"/>
    <x v="0"/>
    <x v="2"/>
    <s v="Teacher"/>
    <n v="112447"/>
    <x v="0"/>
    <x v="0"/>
    <d v="2020-01-17T00:00:00"/>
    <n v="5"/>
    <x v="1"/>
    <x v="9"/>
  </r>
  <r>
    <s v="CUST0356"/>
    <s v="Tyler Harris"/>
    <x v="0"/>
    <x v="13"/>
    <x v="3"/>
    <x v="2"/>
    <s v="Banker"/>
    <n v="134994"/>
    <x v="0"/>
    <x v="1"/>
    <d v="2018-10-01T00:00:00"/>
    <n v="7"/>
    <x v="2"/>
    <x v="2"/>
  </r>
  <r>
    <s v="CUST0357"/>
    <s v="Jordan Bates"/>
    <x v="1"/>
    <x v="40"/>
    <x v="1"/>
    <x v="3"/>
    <s v="Trader"/>
    <n v="40049"/>
    <x v="2"/>
    <x v="0"/>
    <d v="2020-12-25T00:00:00"/>
    <n v="4"/>
    <x v="1"/>
    <x v="9"/>
  </r>
  <r>
    <s v="CUST0358"/>
    <s v="Susan Walsh"/>
    <x v="1"/>
    <x v="32"/>
    <x v="0"/>
    <x v="3"/>
    <s v="Trader"/>
    <n v="125361"/>
    <x v="0"/>
    <x v="0"/>
    <d v="2021-05-26T00:00:00"/>
    <n v="4"/>
    <x v="1"/>
    <x v="1"/>
  </r>
  <r>
    <s v="CUST0359"/>
    <s v="Zachary Knapp"/>
    <x v="0"/>
    <x v="40"/>
    <x v="1"/>
    <x v="0"/>
    <s v="Doctor"/>
    <n v="36082"/>
    <x v="2"/>
    <x v="1"/>
    <d v="2023-01-28T00:00:00"/>
    <n v="2"/>
    <x v="0"/>
    <x v="0"/>
  </r>
  <r>
    <s v="CUST0360"/>
    <s v="Alfred Griffith"/>
    <x v="0"/>
    <x v="34"/>
    <x v="2"/>
    <x v="2"/>
    <s v="Student"/>
    <n v="20661"/>
    <x v="3"/>
    <x v="0"/>
    <d v="2022-09-15T00:00:00"/>
    <n v="3"/>
    <x v="1"/>
    <x v="8"/>
  </r>
  <r>
    <s v="CUST0361"/>
    <s v="Jack Smith"/>
    <x v="1"/>
    <x v="54"/>
    <x v="3"/>
    <x v="1"/>
    <s v="Student"/>
    <n v="188484"/>
    <x v="0"/>
    <x v="0"/>
    <d v="2024-04-10T00:00:00"/>
    <n v="1"/>
    <x v="0"/>
    <x v="5"/>
  </r>
  <r>
    <s v="CUST0362"/>
    <s v="Arthur Green"/>
    <x v="0"/>
    <x v="23"/>
    <x v="1"/>
    <x v="0"/>
    <s v="Teacher"/>
    <n v="22920"/>
    <x v="3"/>
    <x v="0"/>
    <d v="2015-10-18T00:00:00"/>
    <n v="10"/>
    <x v="2"/>
    <x v="10"/>
  </r>
  <r>
    <s v="CUST0363"/>
    <s v="William Fuller"/>
    <x v="0"/>
    <x v="33"/>
    <x v="2"/>
    <x v="3"/>
    <s v="Trader"/>
    <n v="99561"/>
    <x v="1"/>
    <x v="2"/>
    <d v="2016-07-30T00:00:00"/>
    <n v="9"/>
    <x v="2"/>
    <x v="3"/>
  </r>
  <r>
    <s v="CUST0364"/>
    <s v="Jeffrey Long"/>
    <x v="1"/>
    <x v="4"/>
    <x v="2"/>
    <x v="2"/>
    <s v="Doctor"/>
    <n v="28946"/>
    <x v="3"/>
    <x v="1"/>
    <d v="2016-03-13T00:00:00"/>
    <n v="9"/>
    <x v="2"/>
    <x v="3"/>
  </r>
  <r>
    <s v="CUST0365"/>
    <s v="Andrea Turner"/>
    <x v="0"/>
    <x v="27"/>
    <x v="0"/>
    <x v="1"/>
    <s v="Banker"/>
    <n v="196572"/>
    <x v="0"/>
    <x v="0"/>
    <d v="2024-11-11T00:00:00"/>
    <n v="0"/>
    <x v="0"/>
    <x v="5"/>
  </r>
  <r>
    <s v="CUST0366"/>
    <s v="Gregory Lee"/>
    <x v="0"/>
    <x v="40"/>
    <x v="1"/>
    <x v="1"/>
    <s v="Trader"/>
    <n v="36309"/>
    <x v="2"/>
    <x v="0"/>
    <d v="2019-11-04T00:00:00"/>
    <n v="6"/>
    <x v="1"/>
    <x v="6"/>
  </r>
  <r>
    <s v="CUST0367"/>
    <s v="David Hatfield"/>
    <x v="1"/>
    <x v="29"/>
    <x v="3"/>
    <x v="0"/>
    <s v="Doctor"/>
    <n v="75230"/>
    <x v="1"/>
    <x v="0"/>
    <d v="2019-11-26T00:00:00"/>
    <n v="5"/>
    <x v="1"/>
    <x v="6"/>
  </r>
  <r>
    <s v="CUST0368"/>
    <s v="Scott Jackson"/>
    <x v="1"/>
    <x v="42"/>
    <x v="3"/>
    <x v="2"/>
    <s v="Doctor"/>
    <n v="131822"/>
    <x v="0"/>
    <x v="1"/>
    <d v="2019-12-12T00:00:00"/>
    <n v="5"/>
    <x v="1"/>
    <x v="6"/>
  </r>
  <r>
    <s v="CUST0369"/>
    <s v="Heather Davis"/>
    <x v="0"/>
    <x v="6"/>
    <x v="1"/>
    <x v="2"/>
    <s v="Engineer"/>
    <n v="181099"/>
    <x v="0"/>
    <x v="1"/>
    <d v="2023-01-28T00:00:00"/>
    <n v="2"/>
    <x v="0"/>
    <x v="0"/>
  </r>
  <r>
    <s v="CUST0370"/>
    <s v="Brooke Hayes"/>
    <x v="0"/>
    <x v="52"/>
    <x v="3"/>
    <x v="3"/>
    <s v="Banker"/>
    <n v="132340"/>
    <x v="0"/>
    <x v="0"/>
    <d v="2016-06-24T00:00:00"/>
    <n v="9"/>
    <x v="2"/>
    <x v="3"/>
  </r>
  <r>
    <s v="CUST0371"/>
    <s v="Kaitlyn Johnson"/>
    <x v="1"/>
    <x v="3"/>
    <x v="1"/>
    <x v="2"/>
    <s v="Engineer"/>
    <n v="79321"/>
    <x v="1"/>
    <x v="0"/>
    <d v="2017-11-08T00:00:00"/>
    <n v="7"/>
    <x v="2"/>
    <x v="4"/>
  </r>
  <r>
    <s v="CUST0372"/>
    <s v="Daisy Casey"/>
    <x v="1"/>
    <x v="56"/>
    <x v="1"/>
    <x v="2"/>
    <s v="Teacher"/>
    <n v="152028"/>
    <x v="0"/>
    <x v="0"/>
    <d v="2022-07-03T00:00:00"/>
    <n v="3"/>
    <x v="1"/>
    <x v="8"/>
  </r>
  <r>
    <s v="CUST0373"/>
    <s v="Melvin Wells"/>
    <x v="1"/>
    <x v="46"/>
    <x v="3"/>
    <x v="0"/>
    <s v="Engineer"/>
    <n v="94131"/>
    <x v="1"/>
    <x v="1"/>
    <d v="2024-07-28T00:00:00"/>
    <n v="1"/>
    <x v="0"/>
    <x v="5"/>
  </r>
  <r>
    <s v="CUST0374"/>
    <s v="Jacqueline Russell"/>
    <x v="1"/>
    <x v="44"/>
    <x v="2"/>
    <x v="2"/>
    <s v="Retired"/>
    <n v="198980"/>
    <x v="0"/>
    <x v="1"/>
    <d v="2019-10-12T00:00:00"/>
    <n v="6"/>
    <x v="1"/>
    <x v="6"/>
  </r>
  <r>
    <s v="CUST0375"/>
    <s v="Paul Stephens"/>
    <x v="0"/>
    <x v="47"/>
    <x v="3"/>
    <x v="1"/>
    <s v="Engineer"/>
    <n v="45963"/>
    <x v="2"/>
    <x v="0"/>
    <d v="2022-08-25T00:00:00"/>
    <n v="3"/>
    <x v="1"/>
    <x v="8"/>
  </r>
  <r>
    <s v="CUST0376"/>
    <s v="Angela Jackson"/>
    <x v="1"/>
    <x v="31"/>
    <x v="3"/>
    <x v="0"/>
    <s v="Retired"/>
    <n v="121757"/>
    <x v="0"/>
    <x v="0"/>
    <d v="2015-10-07T00:00:00"/>
    <n v="10"/>
    <x v="2"/>
    <x v="10"/>
  </r>
  <r>
    <s v="CUST0377"/>
    <s v="Ashley Hayes"/>
    <x v="1"/>
    <x v="1"/>
    <x v="1"/>
    <x v="0"/>
    <s v="Trader"/>
    <n v="190515"/>
    <x v="0"/>
    <x v="0"/>
    <d v="2022-12-23T00:00:00"/>
    <n v="2"/>
    <x v="0"/>
    <x v="8"/>
  </r>
  <r>
    <s v="CUST0378"/>
    <s v="Claudia Casey"/>
    <x v="0"/>
    <x v="31"/>
    <x v="3"/>
    <x v="3"/>
    <s v="Student"/>
    <n v="119259"/>
    <x v="0"/>
    <x v="2"/>
    <d v="2016-12-27T00:00:00"/>
    <n v="8"/>
    <x v="2"/>
    <x v="3"/>
  </r>
  <r>
    <s v="CUST0379"/>
    <s v="Jay Jackson"/>
    <x v="1"/>
    <x v="14"/>
    <x v="3"/>
    <x v="2"/>
    <s v="Doctor"/>
    <n v="59063"/>
    <x v="2"/>
    <x v="0"/>
    <d v="2023-02-15T00:00:00"/>
    <n v="2"/>
    <x v="0"/>
    <x v="0"/>
  </r>
  <r>
    <s v="CUST0380"/>
    <s v="Brandon Morales"/>
    <x v="0"/>
    <x v="0"/>
    <x v="0"/>
    <x v="3"/>
    <s v="Retired"/>
    <n v="134225"/>
    <x v="0"/>
    <x v="1"/>
    <d v="2021-12-08T00:00:00"/>
    <n v="3"/>
    <x v="1"/>
    <x v="1"/>
  </r>
  <r>
    <s v="CUST0381"/>
    <s v="Timothy Mcknight"/>
    <x v="1"/>
    <x v="35"/>
    <x v="0"/>
    <x v="1"/>
    <s v="Banker"/>
    <n v="136400"/>
    <x v="0"/>
    <x v="1"/>
    <d v="2018-12-29T00:00:00"/>
    <n v="6"/>
    <x v="1"/>
    <x v="2"/>
  </r>
  <r>
    <s v="CUST0382"/>
    <s v="Wendy Hodge"/>
    <x v="1"/>
    <x v="9"/>
    <x v="3"/>
    <x v="0"/>
    <s v="Engineer"/>
    <n v="100818"/>
    <x v="0"/>
    <x v="0"/>
    <d v="2020-06-13T00:00:00"/>
    <n v="5"/>
    <x v="1"/>
    <x v="9"/>
  </r>
  <r>
    <s v="CUST0383"/>
    <s v="Aaron Hernandez"/>
    <x v="1"/>
    <x v="0"/>
    <x v="0"/>
    <x v="0"/>
    <s v="Retired"/>
    <n v="24703"/>
    <x v="3"/>
    <x v="0"/>
    <d v="2022-12-01T00:00:00"/>
    <n v="2"/>
    <x v="0"/>
    <x v="8"/>
  </r>
  <r>
    <s v="CUST0384"/>
    <s v="Erik Baldwin"/>
    <x v="0"/>
    <x v="55"/>
    <x v="0"/>
    <x v="0"/>
    <s v="Banker"/>
    <n v="92099"/>
    <x v="1"/>
    <x v="0"/>
    <d v="2021-08-02T00:00:00"/>
    <n v="4"/>
    <x v="1"/>
    <x v="1"/>
  </r>
  <r>
    <s v="CUST0385"/>
    <s v="Michael West"/>
    <x v="0"/>
    <x v="45"/>
    <x v="1"/>
    <x v="1"/>
    <s v="Student"/>
    <n v="176921"/>
    <x v="0"/>
    <x v="1"/>
    <d v="2022-11-24T00:00:00"/>
    <n v="2"/>
    <x v="0"/>
    <x v="8"/>
  </r>
  <r>
    <s v="CUST0386"/>
    <s v="Megan Davis"/>
    <x v="1"/>
    <x v="30"/>
    <x v="1"/>
    <x v="1"/>
    <s v="Student"/>
    <n v="182932"/>
    <x v="0"/>
    <x v="1"/>
    <d v="2023-08-19T00:00:00"/>
    <n v="2"/>
    <x v="0"/>
    <x v="0"/>
  </r>
  <r>
    <s v="CUST0387"/>
    <s v="Robert Barnes"/>
    <x v="0"/>
    <x v="26"/>
    <x v="1"/>
    <x v="3"/>
    <s v="Engineer"/>
    <n v="51585"/>
    <x v="2"/>
    <x v="1"/>
    <d v="2019-04-22T00:00:00"/>
    <n v="6"/>
    <x v="1"/>
    <x v="6"/>
  </r>
  <r>
    <s v="CUST0388"/>
    <s v="Zachary Schmidt"/>
    <x v="0"/>
    <x v="51"/>
    <x v="0"/>
    <x v="3"/>
    <s v="Teacher"/>
    <n v="173087"/>
    <x v="0"/>
    <x v="0"/>
    <d v="2020-04-26T00:00:00"/>
    <n v="5"/>
    <x v="1"/>
    <x v="9"/>
  </r>
  <r>
    <s v="CUST0389"/>
    <s v="Michael Mitchell"/>
    <x v="0"/>
    <x v="32"/>
    <x v="0"/>
    <x v="3"/>
    <s v="Engineer"/>
    <n v="63585"/>
    <x v="1"/>
    <x v="0"/>
    <d v="2017-01-22T00:00:00"/>
    <n v="8"/>
    <x v="2"/>
    <x v="4"/>
  </r>
  <r>
    <s v="CUST0390"/>
    <s v="John Dunlap"/>
    <x v="0"/>
    <x v="29"/>
    <x v="3"/>
    <x v="2"/>
    <s v="Trader"/>
    <n v="46958"/>
    <x v="2"/>
    <x v="2"/>
    <d v="2021-01-24T00:00:00"/>
    <n v="4"/>
    <x v="1"/>
    <x v="1"/>
  </r>
  <r>
    <s v="CUST0391"/>
    <s v="Alexis Becker"/>
    <x v="0"/>
    <x v="5"/>
    <x v="0"/>
    <x v="0"/>
    <s v="Retired"/>
    <n v="46017"/>
    <x v="2"/>
    <x v="1"/>
    <d v="2017-07-15T00:00:00"/>
    <n v="8"/>
    <x v="2"/>
    <x v="4"/>
  </r>
  <r>
    <s v="CUST0392"/>
    <s v="John Jacobs"/>
    <x v="0"/>
    <x v="14"/>
    <x v="3"/>
    <x v="0"/>
    <s v="Doctor"/>
    <n v="144677"/>
    <x v="0"/>
    <x v="0"/>
    <d v="2018-11-18T00:00:00"/>
    <n v="6"/>
    <x v="1"/>
    <x v="2"/>
  </r>
  <r>
    <s v="CUST0393"/>
    <s v="Tina Adams"/>
    <x v="1"/>
    <x v="54"/>
    <x v="3"/>
    <x v="3"/>
    <s v="Teacher"/>
    <n v="196422"/>
    <x v="0"/>
    <x v="2"/>
    <d v="2021-12-15T00:00:00"/>
    <n v="3"/>
    <x v="1"/>
    <x v="1"/>
  </r>
  <r>
    <s v="CUST0394"/>
    <s v="Daniel Moore"/>
    <x v="1"/>
    <x v="42"/>
    <x v="3"/>
    <x v="0"/>
    <s v="Engineer"/>
    <n v="163273"/>
    <x v="0"/>
    <x v="1"/>
    <d v="2016-01-15T00:00:00"/>
    <n v="9"/>
    <x v="2"/>
    <x v="3"/>
  </r>
  <r>
    <s v="CUST0395"/>
    <s v="Patricia Bush"/>
    <x v="0"/>
    <x v="36"/>
    <x v="0"/>
    <x v="3"/>
    <s v="Banker"/>
    <n v="49426"/>
    <x v="2"/>
    <x v="0"/>
    <d v="2024-03-21T00:00:00"/>
    <n v="1"/>
    <x v="0"/>
    <x v="5"/>
  </r>
  <r>
    <s v="CUST0396"/>
    <s v="Daniel Bradley"/>
    <x v="1"/>
    <x v="39"/>
    <x v="0"/>
    <x v="2"/>
    <s v="Teacher"/>
    <n v="37778"/>
    <x v="2"/>
    <x v="1"/>
    <d v="2022-06-02T00:00:00"/>
    <n v="3"/>
    <x v="1"/>
    <x v="8"/>
  </r>
  <r>
    <s v="CUST0397"/>
    <s v="Amanda Walls"/>
    <x v="1"/>
    <x v="8"/>
    <x v="1"/>
    <x v="2"/>
    <s v="Retired"/>
    <n v="196313"/>
    <x v="0"/>
    <x v="1"/>
    <d v="2020-12-11T00:00:00"/>
    <n v="4"/>
    <x v="1"/>
    <x v="9"/>
  </r>
  <r>
    <s v="CUST0398"/>
    <s v="Elizabeth Green"/>
    <x v="1"/>
    <x v="33"/>
    <x v="2"/>
    <x v="1"/>
    <s v="Teacher"/>
    <n v="62229"/>
    <x v="1"/>
    <x v="1"/>
    <d v="2023-08-22T00:00:00"/>
    <n v="2"/>
    <x v="0"/>
    <x v="0"/>
  </r>
  <r>
    <s v="CUST0399"/>
    <s v="Kevin Hughes"/>
    <x v="1"/>
    <x v="46"/>
    <x v="3"/>
    <x v="2"/>
    <s v="Retired"/>
    <n v="106652"/>
    <x v="0"/>
    <x v="0"/>
    <d v="2025-02-14T00:00:00"/>
    <n v="0"/>
    <x v="0"/>
    <x v="7"/>
  </r>
  <r>
    <s v="CUST0400"/>
    <s v="Timothy Brewer MD"/>
    <x v="0"/>
    <x v="9"/>
    <x v="3"/>
    <x v="3"/>
    <s v="Engineer"/>
    <n v="148267"/>
    <x v="0"/>
    <x v="0"/>
    <d v="2017-02-23T00:00:00"/>
    <n v="8"/>
    <x v="2"/>
    <x v="4"/>
  </r>
  <r>
    <s v="CUST0401"/>
    <s v="Kelsey Rodriguez"/>
    <x v="1"/>
    <x v="9"/>
    <x v="3"/>
    <x v="2"/>
    <s v="Retired"/>
    <n v="199436"/>
    <x v="0"/>
    <x v="2"/>
    <d v="2020-09-26T00:00:00"/>
    <n v="5"/>
    <x v="1"/>
    <x v="9"/>
  </r>
  <r>
    <s v="CUST0402"/>
    <s v="Brandon Dominguez"/>
    <x v="1"/>
    <x v="4"/>
    <x v="2"/>
    <x v="1"/>
    <s v="Teacher"/>
    <n v="146503"/>
    <x v="0"/>
    <x v="0"/>
    <d v="2021-04-24T00:00:00"/>
    <n v="4"/>
    <x v="1"/>
    <x v="1"/>
  </r>
  <r>
    <s v="CUST0403"/>
    <s v="Amy Moreno"/>
    <x v="0"/>
    <x v="35"/>
    <x v="0"/>
    <x v="0"/>
    <s v="Banker"/>
    <n v="104878"/>
    <x v="0"/>
    <x v="0"/>
    <d v="2019-02-27T00:00:00"/>
    <n v="6"/>
    <x v="1"/>
    <x v="6"/>
  </r>
  <r>
    <s v="CUST0404"/>
    <s v="Jessica Lee"/>
    <x v="0"/>
    <x v="2"/>
    <x v="0"/>
    <x v="3"/>
    <s v="Student"/>
    <n v="77056"/>
    <x v="1"/>
    <x v="0"/>
    <d v="2021-03-13T00:00:00"/>
    <n v="4"/>
    <x v="1"/>
    <x v="1"/>
  </r>
  <r>
    <s v="CUST0405"/>
    <s v="Morgan Douglas"/>
    <x v="1"/>
    <x v="29"/>
    <x v="3"/>
    <x v="0"/>
    <s v="Teacher"/>
    <n v="178562"/>
    <x v="0"/>
    <x v="0"/>
    <d v="2023-11-16T00:00:00"/>
    <n v="1"/>
    <x v="0"/>
    <x v="0"/>
  </r>
  <r>
    <s v="CUST0406"/>
    <s v="Katherine Freeman"/>
    <x v="1"/>
    <x v="55"/>
    <x v="0"/>
    <x v="1"/>
    <s v="Retired"/>
    <n v="39975"/>
    <x v="2"/>
    <x v="1"/>
    <d v="2022-12-07T00:00:00"/>
    <n v="2"/>
    <x v="0"/>
    <x v="8"/>
  </r>
  <r>
    <s v="CUST0407"/>
    <s v="Tammy Jackson"/>
    <x v="1"/>
    <x v="37"/>
    <x v="0"/>
    <x v="1"/>
    <s v="Student"/>
    <n v="177795"/>
    <x v="0"/>
    <x v="2"/>
    <d v="2017-12-28T00:00:00"/>
    <n v="7"/>
    <x v="2"/>
    <x v="4"/>
  </r>
  <r>
    <s v="CUST0408"/>
    <s v="Roger Koch"/>
    <x v="1"/>
    <x v="53"/>
    <x v="0"/>
    <x v="1"/>
    <s v="Retired"/>
    <n v="174351"/>
    <x v="0"/>
    <x v="0"/>
    <d v="2016-07-20T00:00:00"/>
    <n v="9"/>
    <x v="2"/>
    <x v="3"/>
  </r>
  <r>
    <s v="CUST0409"/>
    <s v="Shannon Moss"/>
    <x v="1"/>
    <x v="1"/>
    <x v="1"/>
    <x v="0"/>
    <s v="Banker"/>
    <n v="162633"/>
    <x v="0"/>
    <x v="0"/>
    <d v="2019-09-13T00:00:00"/>
    <n v="6"/>
    <x v="1"/>
    <x v="6"/>
  </r>
  <r>
    <s v="CUST0410"/>
    <s v="Shelley Moss"/>
    <x v="1"/>
    <x v="35"/>
    <x v="0"/>
    <x v="0"/>
    <s v="Retired"/>
    <n v="108397"/>
    <x v="0"/>
    <x v="0"/>
    <d v="2016-08-05T00:00:00"/>
    <n v="9"/>
    <x v="2"/>
    <x v="3"/>
  </r>
  <r>
    <s v="CUST0411"/>
    <s v="Darren Morgan"/>
    <x v="0"/>
    <x v="34"/>
    <x v="2"/>
    <x v="0"/>
    <s v="Engineer"/>
    <n v="53142"/>
    <x v="2"/>
    <x v="1"/>
    <d v="2018-11-07T00:00:00"/>
    <n v="6"/>
    <x v="1"/>
    <x v="2"/>
  </r>
  <r>
    <s v="CUST0412"/>
    <s v="Jackie Bell"/>
    <x v="1"/>
    <x v="56"/>
    <x v="1"/>
    <x v="0"/>
    <s v="Doctor"/>
    <n v="46916"/>
    <x v="2"/>
    <x v="1"/>
    <d v="2024-11-12T00:00:00"/>
    <n v="0"/>
    <x v="0"/>
    <x v="5"/>
  </r>
  <r>
    <s v="CUST0413"/>
    <s v="Kristen Petersen"/>
    <x v="1"/>
    <x v="37"/>
    <x v="0"/>
    <x v="1"/>
    <s v="Teacher"/>
    <n v="84324"/>
    <x v="1"/>
    <x v="0"/>
    <d v="2023-02-08T00:00:00"/>
    <n v="2"/>
    <x v="0"/>
    <x v="0"/>
  </r>
  <r>
    <s v="CUST0414"/>
    <s v="Jennifer Mercado"/>
    <x v="0"/>
    <x v="12"/>
    <x v="0"/>
    <x v="1"/>
    <s v="Doctor"/>
    <n v="196037"/>
    <x v="0"/>
    <x v="1"/>
    <d v="2016-03-28T00:00:00"/>
    <n v="9"/>
    <x v="2"/>
    <x v="3"/>
  </r>
  <r>
    <s v="CUST0415"/>
    <s v="Kyle Rodriguez"/>
    <x v="0"/>
    <x v="40"/>
    <x v="1"/>
    <x v="3"/>
    <s v="Retired"/>
    <n v="145932"/>
    <x v="0"/>
    <x v="1"/>
    <d v="2025-08-15T00:00:00"/>
    <n v="0"/>
    <x v="0"/>
    <x v="7"/>
  </r>
  <r>
    <s v="CUST0416"/>
    <s v="Jose Mayer"/>
    <x v="0"/>
    <x v="46"/>
    <x v="3"/>
    <x v="3"/>
    <s v="Banker"/>
    <n v="155720"/>
    <x v="0"/>
    <x v="1"/>
    <d v="2017-10-14T00:00:00"/>
    <n v="8"/>
    <x v="2"/>
    <x v="4"/>
  </r>
  <r>
    <s v="CUST0417"/>
    <s v="Logan Fleming"/>
    <x v="0"/>
    <x v="34"/>
    <x v="2"/>
    <x v="0"/>
    <s v="Teacher"/>
    <n v="186205"/>
    <x v="0"/>
    <x v="2"/>
    <d v="2024-10-30T00:00:00"/>
    <n v="1"/>
    <x v="0"/>
    <x v="5"/>
  </r>
  <r>
    <s v="CUST0418"/>
    <s v="Cameron Cox"/>
    <x v="1"/>
    <x v="40"/>
    <x v="1"/>
    <x v="2"/>
    <s v="Retired"/>
    <n v="116059"/>
    <x v="0"/>
    <x v="0"/>
    <d v="2018-11-28T00:00:00"/>
    <n v="6"/>
    <x v="1"/>
    <x v="2"/>
  </r>
  <r>
    <s v="CUST0419"/>
    <s v="Kimberly Lopez"/>
    <x v="1"/>
    <x v="30"/>
    <x v="1"/>
    <x v="2"/>
    <s v="Student"/>
    <n v="118317"/>
    <x v="0"/>
    <x v="1"/>
    <d v="2017-03-08T00:00:00"/>
    <n v="8"/>
    <x v="2"/>
    <x v="4"/>
  </r>
  <r>
    <s v="CUST0420"/>
    <s v="James Edwards"/>
    <x v="1"/>
    <x v="18"/>
    <x v="1"/>
    <x v="1"/>
    <s v="Trader"/>
    <n v="55046"/>
    <x v="2"/>
    <x v="0"/>
    <d v="2021-04-27T00:00:00"/>
    <n v="4"/>
    <x v="1"/>
    <x v="1"/>
  </r>
  <r>
    <s v="CUST0421"/>
    <s v="Jon Russell"/>
    <x v="1"/>
    <x v="34"/>
    <x v="2"/>
    <x v="1"/>
    <s v="Retired"/>
    <n v="198136"/>
    <x v="0"/>
    <x v="1"/>
    <d v="2016-07-14T00:00:00"/>
    <n v="9"/>
    <x v="2"/>
    <x v="3"/>
  </r>
  <r>
    <s v="CUST0422"/>
    <s v="Amanda Thompson"/>
    <x v="1"/>
    <x v="13"/>
    <x v="3"/>
    <x v="1"/>
    <s v="Doctor"/>
    <n v="121459"/>
    <x v="0"/>
    <x v="1"/>
    <d v="2021-11-23T00:00:00"/>
    <n v="3"/>
    <x v="1"/>
    <x v="1"/>
  </r>
  <r>
    <s v="CUST0423"/>
    <s v="Matthew Martinez"/>
    <x v="1"/>
    <x v="40"/>
    <x v="1"/>
    <x v="3"/>
    <s v="Teacher"/>
    <n v="65893"/>
    <x v="1"/>
    <x v="1"/>
    <d v="2021-11-13T00:00:00"/>
    <n v="3"/>
    <x v="1"/>
    <x v="1"/>
  </r>
  <r>
    <s v="CUST0424"/>
    <s v="Matthew Martinez"/>
    <x v="0"/>
    <x v="40"/>
    <x v="1"/>
    <x v="3"/>
    <s v="Doctor"/>
    <n v="121520"/>
    <x v="0"/>
    <x v="1"/>
    <d v="2020-10-07T00:00:00"/>
    <n v="5"/>
    <x v="1"/>
    <x v="9"/>
  </r>
  <r>
    <s v="CUST0425"/>
    <s v="Gregory Scott"/>
    <x v="1"/>
    <x v="45"/>
    <x v="1"/>
    <x v="1"/>
    <s v="Teacher"/>
    <n v="145818"/>
    <x v="0"/>
    <x v="0"/>
    <d v="2017-07-01T00:00:00"/>
    <n v="8"/>
    <x v="2"/>
    <x v="4"/>
  </r>
  <r>
    <s v="CUST0426"/>
    <s v="Michele Wood"/>
    <x v="0"/>
    <x v="54"/>
    <x v="3"/>
    <x v="1"/>
    <s v="Retired"/>
    <n v="81272"/>
    <x v="1"/>
    <x v="0"/>
    <d v="2017-01-12T00:00:00"/>
    <n v="8"/>
    <x v="2"/>
    <x v="4"/>
  </r>
  <r>
    <s v="CUST0427"/>
    <s v="Juan Reed"/>
    <x v="0"/>
    <x v="30"/>
    <x v="1"/>
    <x v="1"/>
    <s v="Engineer"/>
    <n v="87649"/>
    <x v="1"/>
    <x v="2"/>
    <d v="2023-05-06T00:00:00"/>
    <n v="2"/>
    <x v="0"/>
    <x v="0"/>
  </r>
  <r>
    <s v="CUST0428"/>
    <s v="Michelle Lyons"/>
    <x v="1"/>
    <x v="17"/>
    <x v="1"/>
    <x v="2"/>
    <s v="Student"/>
    <n v="84674"/>
    <x v="1"/>
    <x v="2"/>
    <d v="2019-06-01T00:00:00"/>
    <n v="6"/>
    <x v="1"/>
    <x v="6"/>
  </r>
  <r>
    <s v="CUST0429"/>
    <s v="Courtney Carr"/>
    <x v="0"/>
    <x v="9"/>
    <x v="3"/>
    <x v="3"/>
    <s v="Retired"/>
    <n v="164832"/>
    <x v="0"/>
    <x v="0"/>
    <d v="2017-08-24T00:00:00"/>
    <n v="8"/>
    <x v="2"/>
    <x v="4"/>
  </r>
  <r>
    <s v="CUST0430"/>
    <s v="Mary Clark"/>
    <x v="1"/>
    <x v="19"/>
    <x v="0"/>
    <x v="2"/>
    <s v="Doctor"/>
    <n v="172999"/>
    <x v="0"/>
    <x v="0"/>
    <d v="2017-06-08T00:00:00"/>
    <n v="8"/>
    <x v="2"/>
    <x v="4"/>
  </r>
  <r>
    <s v="CUST0431"/>
    <s v="Dana Robinson"/>
    <x v="0"/>
    <x v="20"/>
    <x v="0"/>
    <x v="2"/>
    <s v="Trader"/>
    <n v="106475"/>
    <x v="0"/>
    <x v="0"/>
    <d v="2023-07-26T00:00:00"/>
    <n v="2"/>
    <x v="0"/>
    <x v="0"/>
  </r>
  <r>
    <s v="CUST0432"/>
    <s v="Zachary Vasquez"/>
    <x v="1"/>
    <x v="3"/>
    <x v="1"/>
    <x v="1"/>
    <s v="Trader"/>
    <n v="81367"/>
    <x v="1"/>
    <x v="1"/>
    <d v="2017-06-01T00:00:00"/>
    <n v="8"/>
    <x v="2"/>
    <x v="4"/>
  </r>
  <r>
    <s v="CUST0433"/>
    <s v="Brendan Shepard MD"/>
    <x v="0"/>
    <x v="46"/>
    <x v="3"/>
    <x v="1"/>
    <s v="Banker"/>
    <n v="163660"/>
    <x v="0"/>
    <x v="1"/>
    <d v="2019-11-05T00:00:00"/>
    <n v="6"/>
    <x v="1"/>
    <x v="6"/>
  </r>
  <r>
    <s v="CUST0434"/>
    <s v="Elizabeth Sanford"/>
    <x v="1"/>
    <x v="32"/>
    <x v="0"/>
    <x v="0"/>
    <s v="Teacher"/>
    <n v="141750"/>
    <x v="0"/>
    <x v="0"/>
    <d v="2019-05-14T00:00:00"/>
    <n v="6"/>
    <x v="1"/>
    <x v="6"/>
  </r>
  <r>
    <s v="CUST0435"/>
    <s v="Jennifer Jenkins"/>
    <x v="1"/>
    <x v="27"/>
    <x v="0"/>
    <x v="0"/>
    <s v="Doctor"/>
    <n v="138154"/>
    <x v="0"/>
    <x v="0"/>
    <d v="2022-12-01T00:00:00"/>
    <n v="2"/>
    <x v="0"/>
    <x v="8"/>
  </r>
  <r>
    <s v="CUST0436"/>
    <s v="Victor Tran"/>
    <x v="1"/>
    <x v="40"/>
    <x v="1"/>
    <x v="2"/>
    <s v="Banker"/>
    <n v="64738"/>
    <x v="1"/>
    <x v="1"/>
    <d v="2019-10-22T00:00:00"/>
    <n v="6"/>
    <x v="1"/>
    <x v="6"/>
  </r>
  <r>
    <s v="CUST0437"/>
    <s v="Scott Crosby"/>
    <x v="1"/>
    <x v="22"/>
    <x v="3"/>
    <x v="3"/>
    <s v="Doctor"/>
    <n v="53397"/>
    <x v="2"/>
    <x v="1"/>
    <d v="2023-12-21T00:00:00"/>
    <n v="1"/>
    <x v="0"/>
    <x v="0"/>
  </r>
  <r>
    <s v="CUST0438"/>
    <s v="Monica Perez"/>
    <x v="1"/>
    <x v="24"/>
    <x v="1"/>
    <x v="1"/>
    <s v="Teacher"/>
    <n v="102189"/>
    <x v="0"/>
    <x v="0"/>
    <d v="2023-04-21T00:00:00"/>
    <n v="2"/>
    <x v="0"/>
    <x v="0"/>
  </r>
  <r>
    <s v="CUST0439"/>
    <s v="Mallory Miller"/>
    <x v="0"/>
    <x v="27"/>
    <x v="0"/>
    <x v="1"/>
    <s v="Retired"/>
    <n v="96367"/>
    <x v="1"/>
    <x v="0"/>
    <d v="2024-02-06T00:00:00"/>
    <n v="1"/>
    <x v="0"/>
    <x v="5"/>
  </r>
  <r>
    <s v="CUST0440"/>
    <s v="Kyle Perry"/>
    <x v="0"/>
    <x v="11"/>
    <x v="3"/>
    <x v="2"/>
    <s v="Retired"/>
    <n v="140585"/>
    <x v="0"/>
    <x v="0"/>
    <d v="2018-06-23T00:00:00"/>
    <n v="7"/>
    <x v="2"/>
    <x v="2"/>
  </r>
  <r>
    <s v="CUST0441"/>
    <s v="Emily Sellers"/>
    <x v="0"/>
    <x v="26"/>
    <x v="1"/>
    <x v="0"/>
    <s v="Trader"/>
    <n v="96619"/>
    <x v="1"/>
    <x v="0"/>
    <d v="2023-02-07T00:00:00"/>
    <n v="2"/>
    <x v="0"/>
    <x v="0"/>
  </r>
  <r>
    <s v="CUST0442"/>
    <s v="Keith Rodriguez"/>
    <x v="1"/>
    <x v="44"/>
    <x v="2"/>
    <x v="3"/>
    <s v="Retired"/>
    <n v="131453"/>
    <x v="0"/>
    <x v="0"/>
    <d v="2022-05-11T00:00:00"/>
    <n v="3"/>
    <x v="1"/>
    <x v="8"/>
  </r>
  <r>
    <s v="CUST0443"/>
    <s v="Daniel Crawford"/>
    <x v="0"/>
    <x v="5"/>
    <x v="0"/>
    <x v="0"/>
    <s v="Retired"/>
    <n v="39816"/>
    <x v="2"/>
    <x v="1"/>
    <d v="2018-07-04T00:00:00"/>
    <n v="7"/>
    <x v="2"/>
    <x v="2"/>
  </r>
  <r>
    <s v="CUST0444"/>
    <s v="Jason Smith"/>
    <x v="1"/>
    <x v="38"/>
    <x v="3"/>
    <x v="0"/>
    <s v="Engineer"/>
    <n v="193312"/>
    <x v="0"/>
    <x v="1"/>
    <d v="2017-12-05T00:00:00"/>
    <n v="7"/>
    <x v="2"/>
    <x v="4"/>
  </r>
  <r>
    <s v="CUST0445"/>
    <s v="Eric Goodwin"/>
    <x v="1"/>
    <x v="48"/>
    <x v="2"/>
    <x v="0"/>
    <s v="Trader"/>
    <n v="157348"/>
    <x v="0"/>
    <x v="1"/>
    <d v="2022-04-15T00:00:00"/>
    <n v="3"/>
    <x v="1"/>
    <x v="8"/>
  </r>
  <r>
    <s v="CUST0446"/>
    <s v="Jeffrey Grant"/>
    <x v="0"/>
    <x v="14"/>
    <x v="3"/>
    <x v="0"/>
    <s v="Banker"/>
    <n v="99530"/>
    <x v="1"/>
    <x v="1"/>
    <d v="2021-09-20T00:00:00"/>
    <n v="4"/>
    <x v="1"/>
    <x v="1"/>
  </r>
  <r>
    <s v="CUST0447"/>
    <s v="Scott Wall"/>
    <x v="0"/>
    <x v="6"/>
    <x v="1"/>
    <x v="1"/>
    <s v="Student"/>
    <n v="174571"/>
    <x v="0"/>
    <x v="0"/>
    <d v="2023-03-09T00:00:00"/>
    <n v="2"/>
    <x v="0"/>
    <x v="0"/>
  </r>
  <r>
    <s v="CUST0448"/>
    <s v="Alexander Dunn"/>
    <x v="1"/>
    <x v="16"/>
    <x v="2"/>
    <x v="1"/>
    <s v="Engineer"/>
    <n v="128856"/>
    <x v="0"/>
    <x v="0"/>
    <d v="2021-10-24T00:00:00"/>
    <n v="4"/>
    <x v="1"/>
    <x v="1"/>
  </r>
  <r>
    <s v="CUST0449"/>
    <s v="Heather Allen"/>
    <x v="0"/>
    <x v="53"/>
    <x v="0"/>
    <x v="0"/>
    <s v="Banker"/>
    <n v="91635"/>
    <x v="1"/>
    <x v="0"/>
    <d v="2020-07-20T00:00:00"/>
    <n v="5"/>
    <x v="1"/>
    <x v="9"/>
  </r>
  <r>
    <s v="CUST0450"/>
    <s v="Seth Kent"/>
    <x v="1"/>
    <x v="52"/>
    <x v="3"/>
    <x v="3"/>
    <s v="Teacher"/>
    <n v="127803"/>
    <x v="0"/>
    <x v="0"/>
    <d v="2024-07-13T00:00:00"/>
    <n v="1"/>
    <x v="0"/>
    <x v="5"/>
  </r>
  <r>
    <s v="CUST0451"/>
    <s v="Audrey Walters"/>
    <x v="1"/>
    <x v="50"/>
    <x v="1"/>
    <x v="2"/>
    <s v="Engineer"/>
    <n v="55946"/>
    <x v="2"/>
    <x v="1"/>
    <d v="2016-07-29T00:00:00"/>
    <n v="9"/>
    <x v="2"/>
    <x v="3"/>
  </r>
  <r>
    <s v="CUST0452"/>
    <s v="Mary Fletcher"/>
    <x v="1"/>
    <x v="13"/>
    <x v="3"/>
    <x v="3"/>
    <s v="Banker"/>
    <n v="75204"/>
    <x v="1"/>
    <x v="2"/>
    <d v="2024-04-30T00:00:00"/>
    <n v="1"/>
    <x v="0"/>
    <x v="5"/>
  </r>
  <r>
    <s v="CUST0453"/>
    <s v="Renee Williams"/>
    <x v="1"/>
    <x v="31"/>
    <x v="3"/>
    <x v="3"/>
    <s v="Teacher"/>
    <n v="35563"/>
    <x v="2"/>
    <x v="0"/>
    <d v="2019-07-23T00:00:00"/>
    <n v="6"/>
    <x v="1"/>
    <x v="6"/>
  </r>
  <r>
    <s v="CUST0454"/>
    <s v="Ashley Young"/>
    <x v="1"/>
    <x v="48"/>
    <x v="2"/>
    <x v="3"/>
    <s v="Trader"/>
    <n v="112324"/>
    <x v="0"/>
    <x v="0"/>
    <d v="2017-12-05T00:00:00"/>
    <n v="7"/>
    <x v="2"/>
    <x v="4"/>
  </r>
  <r>
    <s v="CUST0455"/>
    <s v="Ralph Johnson"/>
    <x v="0"/>
    <x v="25"/>
    <x v="3"/>
    <x v="0"/>
    <s v="Student"/>
    <n v="29847"/>
    <x v="3"/>
    <x v="1"/>
    <d v="2021-12-27T00:00:00"/>
    <n v="3"/>
    <x v="1"/>
    <x v="1"/>
  </r>
  <r>
    <s v="CUST0456"/>
    <s v="Michael Kramer"/>
    <x v="0"/>
    <x v="52"/>
    <x v="3"/>
    <x v="1"/>
    <s v="Teacher"/>
    <n v="46155"/>
    <x v="2"/>
    <x v="0"/>
    <d v="2016-01-17T00:00:00"/>
    <n v="9"/>
    <x v="2"/>
    <x v="3"/>
  </r>
  <r>
    <s v="CUST0457"/>
    <s v="Edward Bell"/>
    <x v="1"/>
    <x v="3"/>
    <x v="1"/>
    <x v="3"/>
    <s v="Retired"/>
    <n v="99671"/>
    <x v="1"/>
    <x v="0"/>
    <d v="2016-02-16T00:00:00"/>
    <n v="9"/>
    <x v="2"/>
    <x v="3"/>
  </r>
  <r>
    <s v="CUST0458"/>
    <s v="Steven Beltran"/>
    <x v="1"/>
    <x v="9"/>
    <x v="3"/>
    <x v="0"/>
    <s v="Doctor"/>
    <n v="136891"/>
    <x v="0"/>
    <x v="1"/>
    <d v="2024-06-26T00:00:00"/>
    <n v="1"/>
    <x v="0"/>
    <x v="5"/>
  </r>
  <r>
    <s v="CUST0459"/>
    <s v="Raymond Holmes"/>
    <x v="0"/>
    <x v="33"/>
    <x v="2"/>
    <x v="3"/>
    <s v="Teacher"/>
    <n v="103310"/>
    <x v="0"/>
    <x v="1"/>
    <d v="2020-01-19T00:00:00"/>
    <n v="5"/>
    <x v="1"/>
    <x v="9"/>
  </r>
  <r>
    <s v="CUST0460"/>
    <s v="Katherine Cohen"/>
    <x v="0"/>
    <x v="5"/>
    <x v="0"/>
    <x v="3"/>
    <s v="Teacher"/>
    <n v="169381"/>
    <x v="0"/>
    <x v="0"/>
    <d v="2021-06-10T00:00:00"/>
    <n v="4"/>
    <x v="1"/>
    <x v="1"/>
  </r>
  <r>
    <s v="CUST0461"/>
    <s v="Tiffany Lam"/>
    <x v="1"/>
    <x v="1"/>
    <x v="1"/>
    <x v="0"/>
    <s v="Student"/>
    <n v="151691"/>
    <x v="0"/>
    <x v="0"/>
    <d v="2018-10-28T00:00:00"/>
    <n v="7"/>
    <x v="2"/>
    <x v="2"/>
  </r>
  <r>
    <s v="CUST0462"/>
    <s v="Lisa Strickland"/>
    <x v="0"/>
    <x v="14"/>
    <x v="3"/>
    <x v="1"/>
    <s v="Doctor"/>
    <n v="54707"/>
    <x v="2"/>
    <x v="1"/>
    <d v="2019-09-18T00:00:00"/>
    <n v="6"/>
    <x v="1"/>
    <x v="6"/>
  </r>
  <r>
    <s v="CUST0463"/>
    <s v="Dr. Heather White"/>
    <x v="1"/>
    <x v="42"/>
    <x v="3"/>
    <x v="1"/>
    <s v="Retired"/>
    <n v="171409"/>
    <x v="0"/>
    <x v="0"/>
    <d v="2024-07-11T00:00:00"/>
    <n v="1"/>
    <x v="0"/>
    <x v="5"/>
  </r>
  <r>
    <s v="CUST0464"/>
    <s v="Diane Nelson"/>
    <x v="0"/>
    <x v="55"/>
    <x v="0"/>
    <x v="2"/>
    <s v="Banker"/>
    <n v="101537"/>
    <x v="0"/>
    <x v="0"/>
    <d v="2017-10-20T00:00:00"/>
    <n v="8"/>
    <x v="2"/>
    <x v="4"/>
  </r>
  <r>
    <s v="CUST0465"/>
    <s v="Janet Ray"/>
    <x v="1"/>
    <x v="0"/>
    <x v="0"/>
    <x v="0"/>
    <s v="Banker"/>
    <n v="198686"/>
    <x v="0"/>
    <x v="1"/>
    <d v="2025-05-24T00:00:00"/>
    <n v="0"/>
    <x v="0"/>
    <x v="7"/>
  </r>
  <r>
    <s v="CUST0466"/>
    <s v="Tammy Taylor"/>
    <x v="0"/>
    <x v="18"/>
    <x v="1"/>
    <x v="2"/>
    <s v="Teacher"/>
    <n v="111155"/>
    <x v="0"/>
    <x v="0"/>
    <d v="2022-07-03T00:00:00"/>
    <n v="3"/>
    <x v="1"/>
    <x v="8"/>
  </r>
  <r>
    <s v="CUST0467"/>
    <s v="Dr. Christina Erickson"/>
    <x v="1"/>
    <x v="6"/>
    <x v="1"/>
    <x v="2"/>
    <s v="Doctor"/>
    <n v="20281"/>
    <x v="3"/>
    <x v="1"/>
    <d v="2021-10-29T00:00:00"/>
    <n v="4"/>
    <x v="1"/>
    <x v="1"/>
  </r>
  <r>
    <s v="CUST0468"/>
    <s v="Matthew Kane"/>
    <x v="0"/>
    <x v="15"/>
    <x v="0"/>
    <x v="2"/>
    <s v="Doctor"/>
    <n v="178492"/>
    <x v="0"/>
    <x v="0"/>
    <d v="2024-01-28T00:00:00"/>
    <n v="1"/>
    <x v="0"/>
    <x v="5"/>
  </r>
  <r>
    <s v="CUST0469"/>
    <s v="Michael Davies"/>
    <x v="0"/>
    <x v="17"/>
    <x v="1"/>
    <x v="1"/>
    <s v="Retired"/>
    <n v="190102"/>
    <x v="0"/>
    <x v="2"/>
    <d v="2017-08-07T00:00:00"/>
    <n v="8"/>
    <x v="2"/>
    <x v="4"/>
  </r>
  <r>
    <s v="CUST0470"/>
    <s v="Jason Garcia"/>
    <x v="1"/>
    <x v="42"/>
    <x v="3"/>
    <x v="0"/>
    <s v="Student"/>
    <n v="152130"/>
    <x v="0"/>
    <x v="0"/>
    <d v="2021-05-29T00:00:00"/>
    <n v="4"/>
    <x v="1"/>
    <x v="1"/>
  </r>
  <r>
    <s v="CUST0471"/>
    <s v="Roger Johnson"/>
    <x v="0"/>
    <x v="27"/>
    <x v="0"/>
    <x v="2"/>
    <s v="Trader"/>
    <n v="96260"/>
    <x v="1"/>
    <x v="0"/>
    <d v="2025-01-07T00:00:00"/>
    <n v="0"/>
    <x v="0"/>
    <x v="7"/>
  </r>
  <r>
    <s v="CUST0472"/>
    <s v="Anna Mitchell"/>
    <x v="1"/>
    <x v="3"/>
    <x v="1"/>
    <x v="0"/>
    <s v="Banker"/>
    <n v="179476"/>
    <x v="0"/>
    <x v="0"/>
    <d v="2018-09-26T00:00:00"/>
    <n v="7"/>
    <x v="2"/>
    <x v="2"/>
  </r>
  <r>
    <s v="CUST0473"/>
    <s v="Tina Lowery"/>
    <x v="0"/>
    <x v="41"/>
    <x v="1"/>
    <x v="0"/>
    <s v="Student"/>
    <n v="180928"/>
    <x v="0"/>
    <x v="0"/>
    <d v="2020-09-09T00:00:00"/>
    <n v="5"/>
    <x v="1"/>
    <x v="9"/>
  </r>
  <r>
    <s v="CUST0474"/>
    <s v="Gregory Bauer"/>
    <x v="1"/>
    <x v="54"/>
    <x v="3"/>
    <x v="1"/>
    <s v="Engineer"/>
    <n v="160272"/>
    <x v="0"/>
    <x v="1"/>
    <d v="2019-09-11T00:00:00"/>
    <n v="6"/>
    <x v="1"/>
    <x v="6"/>
  </r>
  <r>
    <s v="CUST0475"/>
    <s v="Frank Le"/>
    <x v="0"/>
    <x v="26"/>
    <x v="1"/>
    <x v="2"/>
    <s v="Banker"/>
    <n v="84178"/>
    <x v="1"/>
    <x v="2"/>
    <d v="2020-10-19T00:00:00"/>
    <n v="5"/>
    <x v="1"/>
    <x v="9"/>
  </r>
  <r>
    <s v="CUST0476"/>
    <s v="William Brown"/>
    <x v="1"/>
    <x v="33"/>
    <x v="2"/>
    <x v="2"/>
    <s v="Student"/>
    <n v="53997"/>
    <x v="2"/>
    <x v="0"/>
    <d v="2019-01-23T00:00:00"/>
    <n v="6"/>
    <x v="1"/>
    <x v="6"/>
  </r>
  <r>
    <s v="CUST0477"/>
    <s v="Deborah King"/>
    <x v="0"/>
    <x v="0"/>
    <x v="0"/>
    <x v="0"/>
    <s v="Banker"/>
    <n v="176683"/>
    <x v="0"/>
    <x v="0"/>
    <d v="2015-11-17T00:00:00"/>
    <n v="9"/>
    <x v="2"/>
    <x v="10"/>
  </r>
  <r>
    <s v="CUST0478"/>
    <s v="Louis Palmer"/>
    <x v="1"/>
    <x v="22"/>
    <x v="3"/>
    <x v="3"/>
    <s v="Trader"/>
    <n v="139273"/>
    <x v="0"/>
    <x v="1"/>
    <d v="2016-08-20T00:00:00"/>
    <n v="9"/>
    <x v="2"/>
    <x v="3"/>
  </r>
  <r>
    <s v="CUST0479"/>
    <s v="David Watson"/>
    <x v="0"/>
    <x v="25"/>
    <x v="3"/>
    <x v="1"/>
    <s v="Engineer"/>
    <n v="192307"/>
    <x v="0"/>
    <x v="1"/>
    <d v="2020-10-04T00:00:00"/>
    <n v="5"/>
    <x v="1"/>
    <x v="9"/>
  </r>
  <r>
    <s v="CUST0480"/>
    <s v="Lisa Crawford"/>
    <x v="1"/>
    <x v="44"/>
    <x v="2"/>
    <x v="1"/>
    <s v="Trader"/>
    <n v="186129"/>
    <x v="0"/>
    <x v="0"/>
    <d v="2024-07-03T00:00:00"/>
    <n v="1"/>
    <x v="0"/>
    <x v="5"/>
  </r>
  <r>
    <s v="CUST0481"/>
    <s v="Carolyn Evans"/>
    <x v="1"/>
    <x v="40"/>
    <x v="1"/>
    <x v="1"/>
    <s v="Retired"/>
    <n v="152311"/>
    <x v="0"/>
    <x v="0"/>
    <d v="2016-02-11T00:00:00"/>
    <n v="9"/>
    <x v="2"/>
    <x v="3"/>
  </r>
  <r>
    <s v="CUST0482"/>
    <s v="Thomas Johnson"/>
    <x v="1"/>
    <x v="19"/>
    <x v="0"/>
    <x v="1"/>
    <s v="Engineer"/>
    <n v="146945"/>
    <x v="0"/>
    <x v="0"/>
    <d v="2019-03-29T00:00:00"/>
    <n v="6"/>
    <x v="1"/>
    <x v="6"/>
  </r>
  <r>
    <s v="CUST0483"/>
    <s v="Rita Leonard"/>
    <x v="0"/>
    <x v="48"/>
    <x v="2"/>
    <x v="2"/>
    <s v="Teacher"/>
    <n v="65272"/>
    <x v="1"/>
    <x v="1"/>
    <d v="2024-08-08T00:00:00"/>
    <n v="1"/>
    <x v="0"/>
    <x v="5"/>
  </r>
  <r>
    <s v="CUST0484"/>
    <s v="John Madden"/>
    <x v="1"/>
    <x v="8"/>
    <x v="1"/>
    <x v="2"/>
    <s v="Student"/>
    <n v="109393"/>
    <x v="0"/>
    <x v="0"/>
    <d v="2023-06-10T00:00:00"/>
    <n v="2"/>
    <x v="0"/>
    <x v="0"/>
  </r>
  <r>
    <s v="CUST0485"/>
    <s v="Christopher Hart"/>
    <x v="0"/>
    <x v="48"/>
    <x v="2"/>
    <x v="3"/>
    <s v="Engineer"/>
    <n v="81212"/>
    <x v="1"/>
    <x v="1"/>
    <d v="2018-09-03T00:00:00"/>
    <n v="7"/>
    <x v="2"/>
    <x v="2"/>
  </r>
  <r>
    <s v="CUST0486"/>
    <s v="Ronald Craig"/>
    <x v="1"/>
    <x v="56"/>
    <x v="1"/>
    <x v="1"/>
    <s v="Retired"/>
    <n v="166470"/>
    <x v="0"/>
    <x v="0"/>
    <d v="2024-11-25T00:00:00"/>
    <n v="0"/>
    <x v="0"/>
    <x v="5"/>
  </r>
  <r>
    <s v="CUST0487"/>
    <s v="Christina Young"/>
    <x v="0"/>
    <x v="4"/>
    <x v="2"/>
    <x v="1"/>
    <s v="Retired"/>
    <n v="140030"/>
    <x v="0"/>
    <x v="1"/>
    <d v="2023-02-18T00:00:00"/>
    <n v="2"/>
    <x v="0"/>
    <x v="0"/>
  </r>
  <r>
    <s v="CUST0488"/>
    <s v="Brendan Daniels"/>
    <x v="1"/>
    <x v="46"/>
    <x v="3"/>
    <x v="0"/>
    <s v="Trader"/>
    <n v="76503"/>
    <x v="1"/>
    <x v="0"/>
    <d v="2025-01-24T00:00:00"/>
    <n v="0"/>
    <x v="0"/>
    <x v="7"/>
  </r>
  <r>
    <s v="CUST0489"/>
    <s v="Monica Carter"/>
    <x v="0"/>
    <x v="2"/>
    <x v="0"/>
    <x v="2"/>
    <s v="Banker"/>
    <n v="157710"/>
    <x v="0"/>
    <x v="0"/>
    <d v="2023-06-27T00:00:00"/>
    <n v="2"/>
    <x v="0"/>
    <x v="0"/>
  </r>
  <r>
    <s v="CUST0490"/>
    <s v="Eric Wilson"/>
    <x v="0"/>
    <x v="45"/>
    <x v="1"/>
    <x v="1"/>
    <s v="Engineer"/>
    <n v="26570"/>
    <x v="3"/>
    <x v="0"/>
    <d v="2022-08-27T00:00:00"/>
    <n v="3"/>
    <x v="1"/>
    <x v="8"/>
  </r>
  <r>
    <s v="CUST0491"/>
    <s v="Gail Bates"/>
    <x v="1"/>
    <x v="46"/>
    <x v="3"/>
    <x v="3"/>
    <s v="Student"/>
    <n v="88785"/>
    <x v="1"/>
    <x v="1"/>
    <d v="2022-08-05T00:00:00"/>
    <n v="3"/>
    <x v="1"/>
    <x v="8"/>
  </r>
  <r>
    <s v="CUST0492"/>
    <s v="Michelle Allen"/>
    <x v="0"/>
    <x v="45"/>
    <x v="1"/>
    <x v="3"/>
    <s v="Engineer"/>
    <n v="29110"/>
    <x v="3"/>
    <x v="0"/>
    <d v="2022-10-25T00:00:00"/>
    <n v="3"/>
    <x v="1"/>
    <x v="8"/>
  </r>
  <r>
    <s v="CUST0493"/>
    <s v="Joseph Dean"/>
    <x v="0"/>
    <x v="53"/>
    <x v="0"/>
    <x v="2"/>
    <s v="Doctor"/>
    <n v="99141"/>
    <x v="1"/>
    <x v="0"/>
    <d v="2024-04-11T00:00:00"/>
    <n v="1"/>
    <x v="0"/>
    <x v="5"/>
  </r>
  <r>
    <s v="CUST0494"/>
    <s v="Hector May"/>
    <x v="1"/>
    <x v="53"/>
    <x v="0"/>
    <x v="3"/>
    <s v="Banker"/>
    <n v="32115"/>
    <x v="2"/>
    <x v="0"/>
    <d v="2021-03-12T00:00:00"/>
    <n v="4"/>
    <x v="1"/>
    <x v="1"/>
  </r>
  <r>
    <s v="CUST0495"/>
    <s v="Janet Wells"/>
    <x v="0"/>
    <x v="51"/>
    <x v="0"/>
    <x v="3"/>
    <s v="Student"/>
    <n v="59062"/>
    <x v="2"/>
    <x v="0"/>
    <d v="2022-01-24T00:00:00"/>
    <n v="3"/>
    <x v="1"/>
    <x v="8"/>
  </r>
  <r>
    <s v="CUST0496"/>
    <s v="Morgan Anderson"/>
    <x v="0"/>
    <x v="19"/>
    <x v="0"/>
    <x v="2"/>
    <s v="Student"/>
    <n v="42911"/>
    <x v="2"/>
    <x v="1"/>
    <d v="2017-07-04T00:00:00"/>
    <n v="8"/>
    <x v="2"/>
    <x v="4"/>
  </r>
  <r>
    <s v="CUST0497"/>
    <s v="Vincent Gray"/>
    <x v="0"/>
    <x v="0"/>
    <x v="0"/>
    <x v="1"/>
    <s v="Teacher"/>
    <n v="124061"/>
    <x v="0"/>
    <x v="1"/>
    <d v="2024-06-08T00:00:00"/>
    <n v="1"/>
    <x v="0"/>
    <x v="5"/>
  </r>
  <r>
    <s v="CUST0498"/>
    <s v="Yolanda Olson PhD"/>
    <x v="1"/>
    <x v="36"/>
    <x v="0"/>
    <x v="1"/>
    <s v="Trader"/>
    <n v="52556"/>
    <x v="2"/>
    <x v="1"/>
    <d v="2016-07-10T00:00:00"/>
    <n v="9"/>
    <x v="2"/>
    <x v="3"/>
  </r>
  <r>
    <s v="CUST0499"/>
    <s v="Kayla Kelley"/>
    <x v="0"/>
    <x v="20"/>
    <x v="0"/>
    <x v="3"/>
    <s v="Teacher"/>
    <n v="148335"/>
    <x v="0"/>
    <x v="0"/>
    <d v="2024-05-31T00:00:00"/>
    <n v="1"/>
    <x v="0"/>
    <x v="5"/>
  </r>
  <r>
    <s v="CUST0500"/>
    <s v="Olivia Barton"/>
    <x v="1"/>
    <x v="11"/>
    <x v="3"/>
    <x v="3"/>
    <s v="Student"/>
    <n v="21969"/>
    <x v="3"/>
    <x v="1"/>
    <d v="2024-07-15T00:00:00"/>
    <n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C048C7-7FB7-42D2-BEE2-9A6CD1165B59}"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21:A22"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0C77CA-CBE1-4297-BBA2-CA6EC6B92A77}"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C25:C26" firstHeaderRow="1" firstDataRow="1" firstDataCol="0"/>
  <pivotFields count="14">
    <pivotField showAll="0"/>
    <pivotField showAll="0"/>
    <pivotField showAll="0"/>
    <pivotField showAll="0"/>
    <pivotField showAll="0"/>
    <pivotField showAll="0"/>
    <pivotField showAll="0"/>
    <pivotField showAll="0"/>
    <pivotField showAll="0"/>
    <pivotField showAll="0"/>
    <pivotField numFmtId="22" showAll="0"/>
    <pivotField dataField="1" showAll="0"/>
    <pivotField showAll="0"/>
    <pivotField showAll="0"/>
  </pivotFields>
  <rowItems count="1">
    <i/>
  </rowItems>
  <colItems count="1">
    <i/>
  </colItems>
  <dataFields count="1">
    <dataField name="Average of Tenure(years)" fld="11" subtotal="average" baseField="0" baseItem="0" numFmtId="1"/>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465638-7B83-47D5-879F-8FE31F32EFEF}"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24:A25"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s>
  <rowItems count="1">
    <i/>
  </rowItems>
  <colItems count="1">
    <i/>
  </colItems>
  <dataFields count="1">
    <dataField name="Average of Income" fld="7" subtotal="average" baseField="0" baseItem="0" numFmtId="164"/>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79B4C9-B195-4CA0-B994-C2FEB820E274}"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G13:I17" firstHeaderRow="0" firstDataRow="1" firstDataCol="1"/>
  <pivotFields count="14">
    <pivotField showAll="0"/>
    <pivotField dataField="1" showAll="0"/>
    <pivotField showAll="0"/>
    <pivotField showAll="0"/>
    <pivotField showAll="0"/>
    <pivotField showAll="0"/>
    <pivotField showAll="0"/>
    <pivotField dataField="1" showAll="0"/>
    <pivotField showAll="0"/>
    <pivotField showAll="0"/>
    <pivotField numFmtId="22" showAll="0"/>
    <pivotField showAll="0"/>
    <pivotField axis="axisRow" showAll="0">
      <items count="5">
        <item m="1" x="3"/>
        <item x="2"/>
        <item x="0"/>
        <item x="1"/>
        <item t="default"/>
      </items>
    </pivotField>
    <pivotField showAll="0"/>
  </pivotFields>
  <rowFields count="1">
    <field x="12"/>
  </rowFields>
  <rowItems count="4">
    <i>
      <x v="1"/>
    </i>
    <i>
      <x v="2"/>
    </i>
    <i>
      <x v="3"/>
    </i>
    <i t="grand">
      <x/>
    </i>
  </rowItems>
  <colFields count="1">
    <field x="-2"/>
  </colFields>
  <colItems count="2">
    <i>
      <x/>
    </i>
    <i i="1">
      <x v="1"/>
    </i>
  </colItems>
  <dataFields count="2">
    <dataField name="Count of Name" fld="1" subtotal="count" baseField="0" baseItem="0"/>
    <dataField name="Average of Incom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FB5544-3EAB-4C76-A21E-64485D772837}"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G3:L9" firstHeaderRow="1" firstDataRow="2" firstDataCol="1"/>
  <pivotFields count="14">
    <pivotField showAll="0"/>
    <pivotField dataField="1" showAll="0"/>
    <pivotField showAll="0"/>
    <pivotField showAll="0"/>
    <pivotField axis="axisRow" showAll="0">
      <items count="5">
        <item x="3"/>
        <item x="1"/>
        <item x="2"/>
        <item x="0"/>
        <item t="default"/>
      </items>
    </pivotField>
    <pivotField showAll="0"/>
    <pivotField showAll="0"/>
    <pivotField showAll="0"/>
    <pivotField axis="axisCol" showAll="0">
      <items count="5">
        <item x="1"/>
        <item x="3"/>
        <item x="2"/>
        <item x="0"/>
        <item t="default"/>
      </items>
    </pivotField>
    <pivotField showAll="0"/>
    <pivotField numFmtId="22" showAll="0"/>
    <pivotField showAll="0"/>
    <pivotField showAll="0"/>
    <pivotField showAll="0"/>
  </pivotFields>
  <rowFields count="1">
    <field x="4"/>
  </rowFields>
  <rowItems count="5">
    <i>
      <x/>
    </i>
    <i>
      <x v="1"/>
    </i>
    <i>
      <x v="2"/>
    </i>
    <i>
      <x v="3"/>
    </i>
    <i t="grand">
      <x/>
    </i>
  </rowItems>
  <colFields count="1">
    <field x="8"/>
  </colFields>
  <colItems count="5">
    <i>
      <x/>
    </i>
    <i>
      <x v="1"/>
    </i>
    <i>
      <x v="2"/>
    </i>
    <i>
      <x v="3"/>
    </i>
    <i t="grand">
      <x/>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8C3FF1-CF8A-4169-9C1D-D30D5FE9A58A}" name="PivotTable1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ustomer Segment">
  <location ref="H38:I42"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numFmtId="22" showAll="0"/>
    <pivotField showAll="0"/>
    <pivotField showAll="0"/>
    <pivotField showAll="0"/>
  </pivotFields>
  <rowFields count="1">
    <field x="9"/>
  </rowFields>
  <rowItems count="4">
    <i>
      <x/>
    </i>
    <i>
      <x v="1"/>
    </i>
    <i>
      <x v="2"/>
    </i>
    <i t="grand">
      <x/>
    </i>
  </rowItems>
  <colItems count="1">
    <i/>
  </colItems>
  <dataFields count="1">
    <dataField name="Count of Name" fld="1" subtotal="count" baseField="0" baseItem="0"/>
  </dataFields>
  <formats count="1">
    <format dxfId="83">
      <pivotArea outline="0" collapsedLevelsAreSubtotals="1" fieldPosition="0"/>
    </format>
  </formats>
  <chartFormats count="3">
    <chartFormat chart="21"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F5E7C0-ADB3-4770-AF15-F0045E6BA044}"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ustomer Segment">
  <location ref="H24:I29" firstHeaderRow="1" firstDataRow="1" firstDataCol="1"/>
  <pivotFields count="14">
    <pivotField showAll="0"/>
    <pivotField dataField="1" showAll="0"/>
    <pivotField showAll="0"/>
    <pivotField showAll="0"/>
    <pivotField showAll="0"/>
    <pivotField axis="axisRow" showAll="0">
      <items count="5">
        <item x="1"/>
        <item x="0"/>
        <item x="3"/>
        <item x="2"/>
        <item t="default"/>
      </items>
    </pivotField>
    <pivotField showAll="0"/>
    <pivotField showAll="0"/>
    <pivotField showAll="0"/>
    <pivotField showAll="0"/>
    <pivotField numFmtId="22" showAll="0"/>
    <pivotField showAll="0"/>
    <pivotField showAll="0"/>
    <pivotField showAll="0"/>
  </pivotFields>
  <rowFields count="1">
    <field x="5"/>
  </rowFields>
  <rowItems count="5">
    <i>
      <x/>
    </i>
    <i>
      <x v="1"/>
    </i>
    <i>
      <x v="2"/>
    </i>
    <i>
      <x v="3"/>
    </i>
    <i t="grand">
      <x/>
    </i>
  </rowItems>
  <colItems count="1">
    <i/>
  </colItems>
  <dataFields count="1">
    <dataField name="Count of Name" fld="1" subtotal="count" baseField="0" baseItem="0"/>
  </dataFields>
  <formats count="1">
    <format dxfId="84">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174D48-57CF-444E-AA4F-4738CA02116B}"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D9" firstHeaderRow="1" firstDataRow="2" firstDataCol="1"/>
  <pivotFields count="14">
    <pivotField showAll="0"/>
    <pivotField dataField="1" showAll="0"/>
    <pivotField axis="axisCol" showAll="0">
      <items count="3">
        <item x="1"/>
        <item x="0"/>
        <item t="default"/>
      </items>
    </pivotField>
    <pivotField showAll="0"/>
    <pivotField showAll="0"/>
    <pivotField axis="axisRow" showAll="0">
      <items count="5">
        <item x="1"/>
        <item x="0"/>
        <item x="3"/>
        <item x="2"/>
        <item t="default"/>
      </items>
    </pivotField>
    <pivotField showAll="0"/>
    <pivotField showAll="0"/>
    <pivotField showAll="0"/>
    <pivotField showAll="0">
      <items count="4">
        <item x="1"/>
        <item x="2"/>
        <item x="0"/>
        <item t="default"/>
      </items>
    </pivotField>
    <pivotField numFmtId="22" showAll="0"/>
    <pivotField showAll="0"/>
    <pivotField showAll="0"/>
    <pivotField showAll="0"/>
  </pivotFields>
  <rowFields count="1">
    <field x="5"/>
  </rowFields>
  <rowItems count="5">
    <i>
      <x/>
    </i>
    <i>
      <x v="1"/>
    </i>
    <i>
      <x v="2"/>
    </i>
    <i>
      <x v="3"/>
    </i>
    <i t="grand">
      <x/>
    </i>
  </rowItems>
  <colFields count="1">
    <field x="2"/>
  </colFields>
  <colItems count="3">
    <i>
      <x/>
    </i>
    <i>
      <x v="1"/>
    </i>
    <i t="grand">
      <x/>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8061B9-8BBE-4E91-8CCA-D50EE0315221}"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13:C17" firstHeaderRow="0" firstDataRow="1" firstDataCol="1"/>
  <pivotFields count="14">
    <pivotField showAll="0"/>
    <pivotField dataField="1" showAll="0"/>
    <pivotField showAll="0"/>
    <pivotField showAll="0"/>
    <pivotField showAll="0"/>
    <pivotField showAll="0"/>
    <pivotField showAll="0"/>
    <pivotField dataField="1" showAll="0"/>
    <pivotField showAll="0"/>
    <pivotField axis="axisRow" showAll="0">
      <items count="4">
        <item x="1"/>
        <item x="2"/>
        <item x="0"/>
        <item t="default"/>
      </items>
    </pivotField>
    <pivotField numFmtId="22" showAll="0"/>
    <pivotField showAll="0"/>
    <pivotField showAll="0"/>
    <pivotField showAll="0"/>
  </pivotFields>
  <rowFields count="1">
    <field x="9"/>
  </rowFields>
  <rowItems count="4">
    <i>
      <x/>
    </i>
    <i>
      <x v="1"/>
    </i>
    <i>
      <x v="2"/>
    </i>
    <i t="grand">
      <x/>
    </i>
  </rowItems>
  <colFields count="1">
    <field x="-2"/>
  </colFields>
  <colItems count="2">
    <i>
      <x/>
    </i>
    <i i="1">
      <x v="1"/>
    </i>
  </colItems>
  <dataFields count="2">
    <dataField name="Count of Name" fld="1" subtotal="count" baseField="0" baseItem="0"/>
    <dataField name="Average of Incom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94EBBA-DCE0-430B-92E2-66EC177868C5}"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C22:C23"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s>
  <rowItems count="1">
    <i/>
  </rowItems>
  <colItems count="1">
    <i/>
  </colItems>
  <dataFields count="1">
    <dataField name="Sum of Income" fld="7" baseField="0" baseItem="0" numFmtId="164"/>
  </dataFields>
  <formats count="1">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195CD8-493A-4FCD-8026-E8E557C0A304}" name="PivotTable1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location ref="A31:B36" firstHeaderRow="1" firstDataRow="1" firstDataCol="1"/>
  <pivotFields count="14">
    <pivotField showAll="0"/>
    <pivotField showAll="0"/>
    <pivotField showAll="0"/>
    <pivotField showAll="0"/>
    <pivotField axis="axisRow" showAll="0">
      <items count="5">
        <item x="3"/>
        <item x="1"/>
        <item x="2"/>
        <item x="0"/>
        <item t="default"/>
      </items>
    </pivotField>
    <pivotField showAll="0"/>
    <pivotField showAll="0"/>
    <pivotField dataField="1" showAll="0"/>
    <pivotField showAll="0"/>
    <pivotField showAll="0"/>
    <pivotField numFmtId="22" showAll="0"/>
    <pivotField showAll="0"/>
    <pivotField showAll="0"/>
    <pivotField showAll="0"/>
  </pivotFields>
  <rowFields count="1">
    <field x="4"/>
  </rowFields>
  <rowItems count="5">
    <i>
      <x/>
    </i>
    <i>
      <x v="1"/>
    </i>
    <i>
      <x v="2"/>
    </i>
    <i>
      <x v="3"/>
    </i>
    <i t="grand">
      <x/>
    </i>
  </rowItems>
  <colItems count="1">
    <i/>
  </colItems>
  <dataFields count="1">
    <dataField name="Average of Income" fld="7" subtotal="average" baseField="0" baseItem="0" numFmtId="1"/>
  </dataFields>
  <formats count="5">
    <format dxfId="90">
      <pivotArea outline="0" collapsedLevelsAreSubtotals="1" fieldPosition="0"/>
    </format>
    <format dxfId="89">
      <pivotArea collapsedLevelsAreSubtotals="1" fieldPosition="0">
        <references count="1">
          <reference field="4" count="1">
            <x v="0"/>
          </reference>
        </references>
      </pivotArea>
    </format>
    <format dxfId="88">
      <pivotArea collapsedLevelsAreSubtotals="1" fieldPosition="0">
        <references count="1">
          <reference field="4" count="1">
            <x v="1"/>
          </reference>
        </references>
      </pivotArea>
    </format>
    <format dxfId="87">
      <pivotArea collapsedLevelsAreSubtotals="1" fieldPosition="0">
        <references count="1">
          <reference field="4" count="1">
            <x v="2"/>
          </reference>
        </references>
      </pivotArea>
    </format>
    <format dxfId="86">
      <pivotArea collapsedLevelsAreSubtotals="1" fieldPosition="0">
        <references count="1">
          <reference field="4" count="1">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3D08C1-5C2F-4102-97CB-719D0DB04B00}"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E25:E26" firstHeaderRow="1" firstDataRow="1" firstDataCol="0"/>
  <pivotFields count="14">
    <pivotField showAll="0"/>
    <pivotField showAll="0"/>
    <pivotField showAll="0"/>
    <pivotField dataField="1" showAll="0"/>
    <pivotField showAll="0"/>
    <pivotField showAll="0"/>
    <pivotField showAll="0"/>
    <pivotField showAll="0"/>
    <pivotField showAll="0"/>
    <pivotField showAll="0"/>
    <pivotField numFmtId="22" showAll="0"/>
    <pivotField showAll="0"/>
    <pivotField showAll="0"/>
    <pivotField showAll="0"/>
  </pivotFields>
  <rowItems count="1">
    <i/>
  </rowItems>
  <colItems count="1">
    <i/>
  </colItems>
  <dataFields count="1">
    <dataField name="Average of Age" fld="3" subtotal="average" baseField="0" baseItem="0" numFmtId="1"/>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390990-303F-4240-AFC4-7219EFC6215C}" name="PivotTable1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ustomer Segment">
  <location ref="K30:L34" firstHeaderRow="1" firstDataRow="1" firstDataCol="1"/>
  <pivotFields count="14">
    <pivotField showAll="0"/>
    <pivotField dataField="1" showAll="0"/>
    <pivotField showAll="0"/>
    <pivotField showAll="0"/>
    <pivotField showAll="0"/>
    <pivotField showAll="0"/>
    <pivotField showAll="0"/>
    <pivotField showAll="0"/>
    <pivotField showAll="0"/>
    <pivotField showAll="0"/>
    <pivotField numFmtId="22" showAll="0"/>
    <pivotField showAll="0"/>
    <pivotField axis="axisRow" showAll="0">
      <items count="5">
        <item m="1" x="3"/>
        <item x="2"/>
        <item x="0"/>
        <item x="1"/>
        <item t="default"/>
      </items>
    </pivotField>
    <pivotField showAll="0"/>
  </pivotFields>
  <rowFields count="1">
    <field x="12"/>
  </rowFields>
  <rowItems count="4">
    <i>
      <x v="1"/>
    </i>
    <i>
      <x v="2"/>
    </i>
    <i>
      <x v="3"/>
    </i>
    <i t="grand">
      <x/>
    </i>
  </rowItems>
  <colItems count="1">
    <i/>
  </colItems>
  <dataFields count="1">
    <dataField name="Count of Name" fld="1" subtotal="count" baseField="0" baseItem="0"/>
  </dataFields>
  <formats count="1">
    <format dxfId="92">
      <pivotArea outline="0" collapsedLevelsAreSubtotals="1" fieldPosition="0"/>
    </format>
  </format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2" count="1" selected="0">
            <x v="1"/>
          </reference>
        </references>
      </pivotArea>
    </chartFormat>
    <chartFormat chart="17" format="10">
      <pivotArea type="data" outline="0" fieldPosition="0">
        <references count="2">
          <reference field="4294967294" count="1" selected="0">
            <x v="0"/>
          </reference>
          <reference field="12" count="1" selected="0">
            <x v="2"/>
          </reference>
        </references>
      </pivotArea>
    </chartFormat>
    <chartFormat chart="17" format="1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5DA122-90C5-4CA7-A814-720C1243C2ED}"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ustomer Segment">
  <location ref="K21:L24" firstHeaderRow="1" firstDataRow="1" firstDataCol="1"/>
  <pivotFields count="14">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numFmtId="22" showAll="0"/>
    <pivotField showAll="0"/>
    <pivotField showAll="0"/>
    <pivotField showAll="0"/>
  </pivotFields>
  <rowFields count="1">
    <field x="2"/>
  </rowFields>
  <rowItems count="3">
    <i>
      <x/>
    </i>
    <i>
      <x v="1"/>
    </i>
    <i t="grand">
      <x/>
    </i>
  </rowItems>
  <colItems count="1">
    <i/>
  </colItems>
  <dataFields count="1">
    <dataField name="Count of Name" fld="1" subtotal="count" baseField="0" baseItem="0"/>
  </dataFields>
  <formats count="1">
    <format dxfId="93">
      <pivotArea outline="0" collapsedLevelsAreSubtotals="1" fieldPosition="0"/>
    </format>
  </formats>
  <chartFormats count="4">
    <chartFormat chart="0"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 count="1" selected="0">
            <x v="0"/>
          </reference>
        </references>
      </pivotArea>
    </chartFormat>
    <chartFormat chart="11"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32B953B-67EE-4045-A987-34924C70C8AE}" name="PivotTable1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location ref="E28:F40" firstHeaderRow="1" firstDataRow="1" firstDataCol="1"/>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2">
    <i>
      <x/>
    </i>
    <i>
      <x v="1"/>
    </i>
    <i>
      <x v="2"/>
    </i>
    <i>
      <x v="3"/>
    </i>
    <i>
      <x v="4"/>
    </i>
    <i>
      <x v="5"/>
    </i>
    <i>
      <x v="6"/>
    </i>
    <i>
      <x v="7"/>
    </i>
    <i>
      <x v="8"/>
    </i>
    <i>
      <x v="9"/>
    </i>
    <i>
      <x v="10"/>
    </i>
    <i t="grand">
      <x/>
    </i>
  </rowItems>
  <colItems count="1">
    <i/>
  </colItems>
  <dataFields count="1">
    <dataField name="Sum of Income" fld="7" baseField="0" baseItem="0" numFmtId="164"/>
  </dataFields>
  <formats count="2">
    <format dxfId="95">
      <pivotArea outline="0" collapsedLevelsAreSubtotals="1" fieldPosition="0"/>
    </format>
    <format dxfId="9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08E85B-2AD8-49EA-BCEC-6788629FD5EE}" name="PivotTable40" cacheId="37" applyNumberFormats="0" applyBorderFormats="0" applyFontFormats="0" applyPatternFormats="0" applyAlignmentFormats="0" applyWidthHeightFormats="1" dataCaption="Values" tag="583d1c36-da0a-4928-990a-e3e0f8bd5255" updatedVersion="8" minRefreshableVersion="3" useAutoFormatting="1" subtotalHiddenItems="1" itemPrintTitles="1" createdVersion="8" indent="0" outline="1" outlineData="1" multipleFieldFilters="0" chartFormat="12" rowHeaderCaption="Generations">
  <location ref="AK5:AL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omplaintID" fld="1" subtotal="count" baseField="0" baseItem="0"/>
  </dataFields>
  <formats count="2">
    <format dxfId="1">
      <pivotArea grandRow="1" outline="0" collapsedLevelsAreSubtotals="1" fieldPosition="0"/>
    </format>
    <format dxfId="0">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D8E9705-978C-46B8-B63F-D2603108F5E0}" name="PivotTable30" cacheId="12" applyNumberFormats="0" applyBorderFormats="0" applyFontFormats="0" applyPatternFormats="0" applyAlignmentFormats="0" applyWidthHeightFormats="1" dataCaption="Values" tag="bd3ae8c8-b2e0-4054-a16a-383f8a9cfc43" updatedVersion="8" minRefreshableVersion="3" useAutoFormatting="1" subtotalHiddenItems="1" itemPrintTitles="1" createdVersion="8" indent="0" outline="1" outlineData="1" multipleFieldFilters="0" chartFormat="4" rowHeaderCaption="branch">
  <location ref="J79:K100" firstHeaderRow="1" firstDataRow="1" firstDataCol="1"/>
  <pivotFields count="2">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4"/>
    </i>
    <i>
      <x v="5"/>
    </i>
    <i>
      <x v="10"/>
    </i>
    <i>
      <x v="9"/>
    </i>
    <i>
      <x v="18"/>
    </i>
    <i>
      <x v="16"/>
    </i>
    <i>
      <x v="13"/>
    </i>
    <i>
      <x v="14"/>
    </i>
    <i>
      <x v="17"/>
    </i>
    <i>
      <x v="12"/>
    </i>
    <i>
      <x v="8"/>
    </i>
    <i>
      <x v="6"/>
    </i>
    <i>
      <x/>
    </i>
    <i>
      <x v="15"/>
    </i>
    <i>
      <x v="11"/>
    </i>
    <i>
      <x v="19"/>
    </i>
    <i>
      <x v="7"/>
    </i>
    <i>
      <x v="2"/>
    </i>
    <i>
      <x v="1"/>
    </i>
    <i>
      <x v="3"/>
    </i>
    <i t="grand">
      <x/>
    </i>
  </rowItems>
  <colItems count="1">
    <i/>
  </colItems>
  <dataFields count="1">
    <dataField name="Sum of Operating_Cost" fld="1" baseField="0" baseItem="0"/>
  </dataFields>
  <formats count="3">
    <format dxfId="4">
      <pivotArea outline="0" collapsedLevelsAreSubtotals="1" fieldPosition="0"/>
    </format>
    <format dxfId="3">
      <pivotArea collapsedLevelsAreSubtotals="1" fieldPosition="0">
        <references count="1">
          <reference field="0" count="19">
            <x v="0"/>
            <x v="1"/>
            <x v="2"/>
            <x v="4"/>
            <x v="5"/>
            <x v="6"/>
            <x v="7"/>
            <x v="8"/>
            <x v="9"/>
            <x v="10"/>
            <x v="11"/>
            <x v="12"/>
            <x v="13"/>
            <x v="14"/>
            <x v="15"/>
            <x v="16"/>
            <x v="17"/>
            <x v="18"/>
            <x v="19"/>
          </reference>
        </references>
      </pivotArea>
    </format>
    <format dxfId="2">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86A0B4D-9ADB-44B8-8851-56776D8BF1BF}" name="PivotTable13" cacheId="9" applyNumberFormats="0" applyBorderFormats="0" applyFontFormats="0" applyPatternFormats="0" applyAlignmentFormats="0" applyWidthHeightFormats="1" dataCaption="Values" tag="657bdb1f-20a2-4300-8223-09f33b8837d0" updatedVersion="8" minRefreshableVersion="3" useAutoFormatting="1" subtotalHiddenItems="1" itemPrintTitles="1" createdVersion="8" indent="0" outline="1" outlineData="1" multipleFieldFilters="0" chartFormat="3" rowHeaderCaption="Account type">
  <location ref="G19:G20" firstHeaderRow="1" firstDataRow="1" firstDataCol="0"/>
  <pivotFields count="1">
    <pivotField dataField="1" subtotalTop="0" showAll="0" defaultSubtotal="0"/>
  </pivotFields>
  <rowItems count="1">
    <i/>
  </rowItems>
  <colItems count="1">
    <i/>
  </colItems>
  <dataFields count="1">
    <dataField name="Average of Amount" fld="0" subtotal="average" baseField="0" baseItem="0" numFmtId="166"/>
  </dataFields>
  <formats count="1">
    <format dxfId="5">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EC30DB8-27DF-4005-B472-129E148A2FBA}" name="PivotTable37" cacheId="33"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AE3:AE4" firstHeaderRow="1" firstDataRow="1" firstDataCol="0" rowPageCount="1" colPageCount="1"/>
  <pivotFields count="4">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22" name="[complaints  1   1].[Complaint_Type].&amp;[Fraud]" cap="Fraud"/>
  </pageFields>
  <dataFields count="1">
    <dataField name="Total Fraud Cases" fld="1" subtotal="count" baseField="0" baseItem="0"/>
  </dataFields>
  <formats count="2">
    <format dxfId="7">
      <pivotArea grandRow="1" outline="0" collapsedLevelsAreSubtotals="1" fieldPosition="0"/>
    </format>
    <format dxfId="6">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Fraud Cas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FE752B-194C-40D6-AEA3-79A76A47802B}" name="PivotTable19" cacheId="21" applyNumberFormats="0" applyBorderFormats="0" applyFontFormats="0" applyPatternFormats="0" applyAlignmentFormats="0" applyWidthHeightFormats="1" dataCaption="Values" tag="de9de064-4ce1-4b0d-a008-1b42766a5f0e" updatedVersion="8" minRefreshableVersion="3" useAutoFormatting="1" subtotalHiddenItems="1" itemPrintTitles="1" createdVersion="8" indent="0" outline="1" outlineData="1" multipleFieldFilters="0" chartFormat="12" rowHeaderCaption="Credit card ">
  <location ref="S19:X23"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3">
    <i>
      <x/>
    </i>
    <i>
      <x v="1"/>
    </i>
    <i t="grand">
      <x/>
    </i>
  </rowItems>
  <colFields count="1">
    <field x="2"/>
  </colFields>
  <colItems count="5">
    <i>
      <x/>
    </i>
    <i>
      <x v="1"/>
    </i>
    <i>
      <x v="2"/>
    </i>
    <i>
      <x v="3"/>
    </i>
    <i t="grand">
      <x/>
    </i>
  </colItems>
  <dataFields count="1">
    <dataField name="Count of TransID" fld="1" subtotal="count" baseField="0" baseItem="0"/>
  </dataFields>
  <formats count="1">
    <format dxfId="8">
      <pivotArea outline="0" collapsedLevelsAreSubtotals="1" fieldPosition="0"/>
    </format>
  </formats>
  <chartFormats count="4">
    <chartFormat chart="11" format="8" series="1">
      <pivotArea type="data" outline="0" fieldPosition="0">
        <references count="2">
          <reference field="4294967294" count="1" selected="0">
            <x v="0"/>
          </reference>
          <reference field="2" count="1" selected="0">
            <x v="0"/>
          </reference>
        </references>
      </pivotArea>
    </chartFormat>
    <chartFormat chart="11" format="9" series="1">
      <pivotArea type="data" outline="0" fieldPosition="0">
        <references count="2">
          <reference field="4294967294" count="1" selected="0">
            <x v="0"/>
          </reference>
          <reference field="2" count="1" selected="0">
            <x v="1"/>
          </reference>
        </references>
      </pivotArea>
    </chartFormat>
    <chartFormat chart="11" format="10" series="1">
      <pivotArea type="data" outline="0" fieldPosition="0">
        <references count="2">
          <reference field="4294967294" count="1" selected="0">
            <x v="0"/>
          </reference>
          <reference field="2" count="1" selected="0">
            <x v="2"/>
          </reference>
        </references>
      </pivotArea>
    </chartFormat>
    <chartFormat chart="11" format="11" series="1">
      <pivotArea type="data" outline="0" fieldPosition="0">
        <references count="2">
          <reference field="4294967294" count="1" selected="0">
            <x v="0"/>
          </reference>
          <reference field="2"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FEC1A83-7D4F-47E3-94F7-F9FCEAA86FBA}" name="PivotTable33" cacheId="31"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U1:U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solution_Time(days)" fld="0" subtotal="average" baseField="0" baseItem="0" numFmtId="1"/>
  </dataFields>
  <formats count="2">
    <format dxfId="10">
      <pivotArea grandRow="1" outline="0" collapsedLevelsAreSubtotals="1" fieldPosition="0"/>
    </format>
    <format dxfId="9">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12A210A-AE66-440A-A734-1BA218DA62D1}" name="PivotTable4" cacheId="28" applyNumberFormats="0" applyBorderFormats="0" applyFontFormats="0" applyPatternFormats="0" applyAlignmentFormats="0" applyWidthHeightFormats="1" dataCaption="Values" tag="6058d986-16c5-4ddd-a530-eed20d4b7d14" updatedVersion="8" minRefreshableVersion="3" useAutoFormatting="1" subtotalHiddenItems="1" itemPrintTitles="1" createdVersion="8" indent="0" outline="1" outlineData="1" multipleFieldFilters="0">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ccountID" fld="1"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98809DB-F1F6-442B-85D5-67D1C9780002}" name="PivotTable28" cacheId="35" applyNumberFormats="0" applyBorderFormats="0" applyFontFormats="0" applyPatternFormats="0" applyAlignmentFormats="0" applyWidthHeightFormats="1" dataCaption="Values" tag="8774bd83-4bd4-40c1-85bc-34f3155fce93" updatedVersion="8" minRefreshableVersion="3" useAutoFormatting="1" subtotalHiddenItems="1" itemPrintTitles="1" createdVersion="8" indent="0" outline="1" outlineData="1" multipleFieldFilters="0" chartFormat="12" rowHeaderCaption="Generations">
  <location ref="AK1:AK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12">
      <pivotArea grandRow="1" outline="0" collapsedLevelsAreSubtotals="1" fieldPosition="0"/>
    </format>
    <format dxfId="11">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4D47AEE-76DC-46B4-95A4-5558D12E3E6F}" name="PivotTable34" cacheId="30" applyNumberFormats="0" applyBorderFormats="0" applyFontFormats="0" applyPatternFormats="0" applyAlignmentFormats="0" applyWidthHeightFormats="1" dataCaption="Values" tag="b27c1866-c784-4948-a00c-785d8456f46b" updatedVersion="8" minRefreshableVersion="3" useAutoFormatting="1" subtotalHiddenItems="1" itemPrintTitles="1" createdVersion="8" indent="0" outline="1" outlineData="1" multipleFieldFilters="0" chartFormat="3" rowHeaderCaption="Account type">
  <location ref="G22:G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3">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C056622-4529-422B-95E9-E1EE036D18AB}" name="PivotTable21" cacheId="6" applyNumberFormats="0" applyBorderFormats="0" applyFontFormats="0" applyPatternFormats="0" applyAlignmentFormats="0" applyWidthHeightFormats="1" dataCaption="Values" tag="9777c962-d6d8-46e2-a3ec-ed97815c00d6" updatedVersion="8" minRefreshableVersion="3" useAutoFormatting="1" subtotalHiddenItems="1" itemPrintTitles="1" createdVersion="8" indent="0" outline="1" outlineData="1" multipleFieldFilters="0" chartFormat="4" rowHeaderCaption="Account type">
  <location ref="A86:A87" firstHeaderRow="1" firstDataRow="1" firstDataCol="0"/>
  <pivotFields count="1">
    <pivotField dataField="1" subtotalTop="0" showAll="0" defaultSubtotal="0"/>
  </pivotFields>
  <rowItems count="1">
    <i/>
  </rowItems>
  <colItems count="1">
    <i/>
  </colItems>
  <dataFields count="1">
    <dataField name="Sum of Profit" fld="0" baseField="0" baseItem="0" numFmtId="166"/>
  </dataFields>
  <formats count="1">
    <format dxfId="14">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5A3935B-3F9B-4D33-A397-624A1197C41C}" name="PivotTable42" cacheId="39" applyNumberFormats="0" applyBorderFormats="0" applyFontFormats="0" applyPatternFormats="0" applyAlignmentFormats="0" applyWidthHeightFormats="1" dataCaption="Values" tag="00cd807c-e2e1-49f1-bd16-7dfe4116c4d2" updatedVersion="8" minRefreshableVersion="3" useAutoFormatting="1" subtotalHiddenItems="1" itemPrintTitles="1" createdVersion="8" indent="0" outline="1" outlineData="1" multipleFieldFilters="0" chartFormat="22" rowHeaderCaption="Generations">
  <location ref="AQ5:AR11"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omplaintID" fld="1" subtotal="count" baseField="0" baseItem="0"/>
  </dataFields>
  <formats count="2">
    <format dxfId="16">
      <pivotArea grandRow="1" outline="0" collapsedLevelsAreSubtotals="1" fieldPosition="0"/>
    </format>
    <format dxfId="15">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F1EA849-FD84-4166-9527-DA4090C7DA5B}" name="PivotTable22" cacheId="18" applyNumberFormats="0" applyBorderFormats="0" applyFontFormats="0" applyPatternFormats="0" applyAlignmentFormats="0" applyWidthHeightFormats="1" dataCaption="Values" tag="1f492175-1d6c-4c2a-8881-e44326ccbcff" updatedVersion="8" minRefreshableVersion="3" useAutoFormatting="1" subtotalHiddenItems="1" itemPrintTitles="1" createdVersion="8" indent="0" outline="1" outlineData="1" multipleFieldFilters="0" chartFormat="10" rowHeaderCaption="Account type">
  <location ref="J51:K63" firstHeaderRow="1" firstDataRow="1" firstDataCol="1"/>
  <pivotFields count="2">
    <pivotField dataField="1" subtotalTop="0" showAll="0" defaultSubtotal="0"/>
    <pivotField axis="axisRow" allDrilled="1" subtotalTop="0" showAll="0" defaultSubtotal="0">
      <items count="11">
        <item x="0" e="0"/>
        <item x="1" e="0"/>
        <item x="2" e="0"/>
        <item x="3" e="0"/>
        <item x="4" e="0"/>
        <item x="5" e="0"/>
        <item x="6" e="0"/>
        <item x="7" e="0"/>
        <item x="8" e="0"/>
        <item x="9" e="0"/>
        <item x="10" e="0"/>
      </items>
    </pivotField>
  </pivotFields>
  <rowFields count="1">
    <field x="1"/>
  </rowFields>
  <rowItems count="12">
    <i>
      <x/>
    </i>
    <i>
      <x v="1"/>
    </i>
    <i>
      <x v="2"/>
    </i>
    <i>
      <x v="3"/>
    </i>
    <i>
      <x v="4"/>
    </i>
    <i>
      <x v="5"/>
    </i>
    <i>
      <x v="6"/>
    </i>
    <i>
      <x v="7"/>
    </i>
    <i>
      <x v="8"/>
    </i>
    <i>
      <x v="9"/>
    </i>
    <i>
      <x v="10"/>
    </i>
    <i t="grand">
      <x/>
    </i>
  </rowItems>
  <colItems count="1">
    <i/>
  </colItems>
  <dataFields count="1">
    <dataField name="Count of AccountID" fld="0" subtotal="count" baseField="0" baseItem="0"/>
  </dataFields>
  <formats count="2">
    <format dxfId="18">
      <pivotArea outline="0" collapsedLevelsAreSubtotals="1" fieldPosition="0"/>
    </format>
    <format dxfId="17">
      <pivotArea collapsedLevelsAreSubtotals="1" fieldPosition="0">
        <references count="1">
          <reference field="1"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14BF5FF-280A-4CC3-B9B8-2ECA16103C32}" name="PivotTable25" cacheId="8" applyNumberFormats="0" applyBorderFormats="0" applyFontFormats="0" applyPatternFormats="0" applyAlignmentFormats="0" applyWidthHeightFormats="1" dataCaption="Values" tag="b8c8b901-7047-4a7e-b379-35ba938620fd" updatedVersion="8" minRefreshableVersion="3" useAutoFormatting="1" subtotalHiddenItems="1" itemPrintTitles="1" createdVersion="8" indent="0" outline="1" outlineData="1" multipleFieldFilters="0" chartFormat="4" rowHeaderCaption="Account type">
  <location ref="A89:A90" firstHeaderRow="1" firstDataRow="1" firstDataCol="0"/>
  <pivotFields count="1">
    <pivotField dataField="1" subtotalTop="0" showAll="0" defaultSubtotal="0"/>
  </pivotFields>
  <rowItems count="1">
    <i/>
  </rowItems>
  <colItems count="1">
    <i/>
  </colItems>
  <dataFields count="1">
    <dataField name="Sum of Staff_Count" fld="0" baseField="0" baseItem="0" numFmtId="168"/>
  </dataFields>
  <formats count="1">
    <format dxfId="19">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2621CB9-FC38-42E1-8224-C05127B0D808}" name="PivotTable23" cacheId="15" applyNumberFormats="0" applyBorderFormats="0" applyFontFormats="0" applyPatternFormats="0" applyAlignmentFormats="0" applyWidthHeightFormats="1" dataCaption="Values" tag="a30069ac-7ff8-4a47-aaaf-173dc242f88a" updatedVersion="8" minRefreshableVersion="3" useAutoFormatting="1" subtotalHiddenItems="1" itemPrintTitles="1" createdVersion="8" indent="0" outline="1" outlineData="1" multipleFieldFilters="0" chartFormat="17" rowHeaderCaption="Account type">
  <location ref="M51:N63"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formats count="2">
    <format dxfId="21">
      <pivotArea outline="0" collapsedLevelsAreSubtotals="1" fieldPosition="0"/>
    </format>
    <format dxfId="20">
      <pivotArea collapsedLevelsAreSubtotals="1" fieldPosition="0">
        <references count="1">
          <reference field="0"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7BEB890-1A60-4454-90A7-51ABE02ECE5E}" name="PivotTable39" cacheId="36" applyNumberFormats="0" applyBorderFormats="0" applyFontFormats="0" applyPatternFormats="0" applyAlignmentFormats="0" applyWidthHeightFormats="1" dataCaption="Values" tag="322691e4-1ae1-4ac8-a626-fc43aa2c0ddb" updatedVersion="8" minRefreshableVersion="3" useAutoFormatting="1" subtotalHiddenItems="1" itemPrintTitles="1" createdVersion="8" indent="0" outline="1" outlineData="1" multipleFieldFilters="0" chartFormat="12" rowHeaderCaption="Generations">
  <location ref="AM1:AM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2">
    <format dxfId="23">
      <pivotArea grandRow="1" outline="0" collapsedLevelsAreSubtotals="1" fieldPosition="0"/>
    </format>
    <format dxfId="22">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2C53F16-7744-404C-8A6F-87C69BCEDAF1}" name="PivotTable2" cacheId="13" applyNumberFormats="0" applyBorderFormats="0" applyFontFormats="0" applyPatternFormats="0" applyAlignmentFormats="0" applyWidthHeightFormats="1" dataCaption="Values" tag="8ef3955f-13d1-4860-976a-eb7496dc590c" updatedVersion="8" minRefreshableVersion="3" useAutoFormatting="1" subtotalHiddenItems="1" itemPrintTitles="1" createdVersion="8" indent="0" outline="1" outlineData="1" multipleFieldFilters="0" chartFormat="3" rowHeaderCaption="Account type">
  <location ref="A19:A20" firstHeaderRow="1" firstDataRow="1" firstDataCol="0"/>
  <pivotFields count="1">
    <pivotField dataField="1" subtotalTop="0" showAll="0" defaultSubtotal="0"/>
  </pivotFields>
  <rowItems count="1">
    <i/>
  </rowItems>
  <colItems count="1">
    <i/>
  </colItems>
  <dataFields count="1">
    <dataField name="Count of TransID" fld="0" subtotal="count" baseField="0" baseItem="0"/>
  </dataFields>
  <formats count="1">
    <format dxfId="24">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CA27874-B7FE-4C43-864B-DEEEFAA76E1A}" name="PivotTable18" cacheId="11" applyNumberFormats="0" applyBorderFormats="0" applyFontFormats="0" applyPatternFormats="0" applyAlignmentFormats="0" applyWidthHeightFormats="1" dataCaption="Values" tag="6cfbc74c-1429-4c04-a2b3-48ef5476a623" updatedVersion="8" minRefreshableVersion="3" useAutoFormatting="1" subtotalHiddenItems="1" itemPrintTitles="1" createdVersion="8" indent="0" outline="1" outlineData="1" multipleFieldFilters="0" chartFormat="4" rowHeaderCaption="Account type">
  <location ref="A83:A84" firstHeaderRow="1" firstDataRow="1" firstDataCol="0"/>
  <pivotFields count="1">
    <pivotField dataField="1" subtotalTop="0" showAll="0" defaultSubtotal="0"/>
  </pivotFields>
  <rowItems count="1">
    <i/>
  </rowItems>
  <colItems count="1">
    <i/>
  </colItems>
  <dataFields count="1">
    <dataField name="Sum of Operating_Cost" fld="0" baseField="0" baseItem="0" numFmtId="166"/>
  </dataFields>
  <formats count="1">
    <format dxfId="25">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A136302-8003-4210-9008-90C3A7F990BB}" name="PivotTable6" cacheId="25" applyNumberFormats="0" applyBorderFormats="0" applyFontFormats="0" applyPatternFormats="0" applyAlignmentFormats="0" applyWidthHeightFormats="1" dataCaption="Values" tag="ebd32ae4-0546-439f-bd5d-61e5955c58d7" updatedVersion="8" minRefreshableVersion="3" useAutoFormatting="1" subtotalHiddenItems="1" itemPrintTitles="1" createdVersion="8" indent="0" outline="1" outlineData="1" multipleFieldFilters="0" chartFormat="5">
  <location ref="G1:H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Balance" fld="1" baseField="0" baseItem="0" numFmtId="165"/>
  </dataFields>
  <formats count="5">
    <format dxfId="30">
      <pivotArea collapsedLevelsAreSubtotals="1" fieldPosition="0">
        <references count="1">
          <reference field="0" count="1">
            <x v="0"/>
          </reference>
        </references>
      </pivotArea>
    </format>
    <format dxfId="29">
      <pivotArea collapsedLevelsAreSubtotals="1" fieldPosition="0">
        <references count="1">
          <reference field="0" count="1">
            <x v="1"/>
          </reference>
        </references>
      </pivotArea>
    </format>
    <format dxfId="28">
      <pivotArea collapsedLevelsAreSubtotals="1" fieldPosition="0">
        <references count="1">
          <reference field="0" count="1">
            <x v="2"/>
          </reference>
        </references>
      </pivotArea>
    </format>
    <format dxfId="27">
      <pivotArea collapsedLevelsAreSubtotals="1" fieldPosition="0">
        <references count="1">
          <reference field="0" count="1">
            <x v="3"/>
          </reference>
        </references>
      </pivotArea>
    </format>
    <format dxfId="26">
      <pivotArea grandRow="1"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163C46D-53D7-4900-BD29-7AEB1AB71C69}" name="PivotTable36" cacheId="32"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W1:X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omplaintID" fld="1" subtotal="count" baseField="0" baseItem="0"/>
  </dataFields>
  <formats count="2">
    <format dxfId="32">
      <pivotArea grandRow="1" outline="0" collapsedLevelsAreSubtotals="1" fieldPosition="0"/>
    </format>
    <format dxfId="31">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9157E4B-A982-4D1D-A846-9037F6AF1800}" name="PivotTable35" cacheId="16" applyNumberFormats="0" applyBorderFormats="0" applyFontFormats="0" applyPatternFormats="0" applyAlignmentFormats="0" applyWidthHeightFormats="1" dataCaption="Values" tag="113eca07-7f26-4691-ac95-002d3b96d044" updatedVersion="8" minRefreshableVersion="3" useAutoFormatting="1" subtotalHiddenItems="1" itemPrintTitles="1" createdVersion="8" indent="0" outline="1" outlineData="1" multipleFieldFilters="0" chartFormat="4" rowHeaderCaption="branch">
  <location ref="M87:O108" firstHeaderRow="0" firstDataRow="1" firstDataCol="1"/>
  <pivotFields count="3">
    <pivotField axis="axisRow" allDrilled="1"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Staff_Count" fld="1" baseField="0" baseItem="0"/>
    <dataField fld="2" subtotal="count" baseField="0" baseItem="0"/>
  </dataFields>
  <formats count="3">
    <format dxfId="35">
      <pivotArea outline="0" collapsedLevelsAreSubtotals="1" fieldPosition="0"/>
    </format>
    <format dxfId="34">
      <pivotArea collapsedLevelsAreSubtotals="1" fieldPosition="0">
        <references count="1">
          <reference field="0" count="19">
            <x v="0"/>
            <x v="1"/>
            <x v="2"/>
            <x v="4"/>
            <x v="5"/>
            <x v="6"/>
            <x v="7"/>
            <x v="8"/>
            <x v="9"/>
            <x v="10"/>
            <x v="11"/>
            <x v="12"/>
            <x v="13"/>
            <x v="14"/>
            <x v="15"/>
            <x v="16"/>
            <x v="17"/>
            <x v="18"/>
            <x v="19"/>
          </reference>
        </references>
      </pivotArea>
    </format>
    <format dxfId="33">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D2A43DD0-BEB9-4925-AFDF-558B921E0912}" name="PivotTable15" cacheId="0" applyNumberFormats="0" applyBorderFormats="0" applyFontFormats="0" applyPatternFormats="0" applyAlignmentFormats="0" applyWidthHeightFormats="1" dataCaption="Values" tag="515f9840-7962-4415-8ba9-66bdffdebf89" updatedVersion="8" minRefreshableVersion="3" useAutoFormatting="1" subtotalHiddenItems="1" itemPrintTitles="1" createdVersion="8" indent="0" outline="1" outlineData="1" multipleFieldFilters="0" chartFormat="4" rowHeaderCaption="Account type">
  <location ref="A80:A81" firstHeaderRow="1" firstDataRow="1" firstDataCol="0"/>
  <pivotFields count="1">
    <pivotField dataField="1" subtotalTop="0" showAll="0" defaultSubtotal="0"/>
  </pivotFields>
  <rowItems count="1">
    <i/>
  </rowItems>
  <colItems count="1">
    <i/>
  </colItems>
  <dataFields count="1">
    <dataField name="Sum of Revenue" fld="0" baseField="0" baseItem="0" numFmtId="166"/>
  </dataFields>
  <formats count="1">
    <format dxfId="36">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C9A18CC1-956C-46E1-BC76-705468B5933F}" name="PivotTable24" cacheId="20" applyNumberFormats="0" applyBorderFormats="0" applyFontFormats="0" applyPatternFormats="0" applyAlignmentFormats="0" applyWidthHeightFormats="1" dataCaption="Values" tag="e509a36d-0157-4afc-abb9-4bf0afcfe7e6" updatedVersion="8" minRefreshableVersion="3" useAutoFormatting="1" subtotalHiddenItems="1" itemPrintTitles="1" createdVersion="8" indent="0" outline="1" outlineData="1" multipleFieldFilters="0" chartFormat="14" rowHeaderCaption="Account type">
  <location ref="J65:K77"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Count of TransID" fld="1" subtotal="count" baseField="0" baseItem="0"/>
  </dataFields>
  <formats count="2">
    <format dxfId="38">
      <pivotArea outline="0" collapsedLevelsAreSubtotals="1" fieldPosition="0"/>
    </format>
    <format dxfId="37">
      <pivotArea collapsedLevelsAreSubtotals="1" fieldPosition="0">
        <references count="1">
          <reference field="0" count="1">
            <x v="0"/>
          </reference>
        </references>
      </pivotArea>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5C0A6CD-015C-4F7E-A844-96D6F529E982}" name="PivotTable31" cacheId="42"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9" rowHeaderCaption="Generations">
  <location ref="S1:T14" firstHeaderRow="1" firstDataRow="1" firstDataCol="1"/>
  <pivotFields count="2">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ComplaintID" fld="0" subtotal="count" baseField="0" baseItem="0" numFmtId="1"/>
  </dataFields>
  <formats count="2">
    <format dxfId="40">
      <pivotArea grandRow="1" outline="0" collapsedLevelsAreSubtotals="1" fieldPosition="0"/>
    </format>
    <format dxfId="39">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01EA42B5-8F32-400B-9CA4-A666D4FDC087}" name="PivotTable16" cacheId="14" applyNumberFormats="0" applyBorderFormats="0" applyFontFormats="0" applyPatternFormats="0" applyAlignmentFormats="0" applyWidthHeightFormats="1" dataCaption="Values" tag="ac0bd337-a3cd-4395-ba59-16e815cc818c" updatedVersion="8" minRefreshableVersion="3" useAutoFormatting="1" subtotalHiddenItems="1" itemPrintTitles="1" createdVersion="8" indent="0" outline="1" outlineData="1" multipleFieldFilters="0" chartFormat="16" rowHeaderCaption="channels">
  <location ref="M19:N24"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TransID" fld="1" subtotal="count" baseField="0" baseItem="0"/>
  </dataFields>
  <formats count="2">
    <format dxfId="42">
      <pivotArea outline="0" collapsedLevelsAreSubtotals="1" fieldPosition="0"/>
    </format>
    <format dxfId="41">
      <pivotArea collapsedLevelsAreSubtotals="1" fieldPosition="0">
        <references count="1">
          <reference field="0" count="0"/>
        </references>
      </pivotArea>
    </format>
  </format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3"/>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3"/>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0" count="1" selected="0">
            <x v="3"/>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0" count="1" selected="0">
            <x v="3"/>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0" count="1" selected="0">
            <x v="3"/>
          </reference>
        </references>
      </pivotArea>
    </chartFormat>
    <chartFormat chart="15" format="23" series="1">
      <pivotArea type="data" outline="0" fieldPosition="0">
        <references count="1">
          <reference field="4294967294" count="1" selected="0">
            <x v="0"/>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4609C7C2-17FB-49EA-A70C-081B461CE58D}" name="PivotTable10" cacheId="17" applyNumberFormats="0" applyBorderFormats="0" applyFontFormats="0" applyPatternFormats="0" applyAlignmentFormats="0" applyWidthHeightFormats="1" dataCaption="Values" tag="dccd70a6-f5c5-43bf-9a01-0cf52411432f" updatedVersion="8" minRefreshableVersion="3" useAutoFormatting="1" subtotalHiddenItems="1" itemPrintTitles="1" createdVersion="8" indent="0" outline="1" outlineData="1" multipleFieldFilters="0" rowHeaderCaption="Loan Status">
  <location ref="G10:H13"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Sum of Loan_Amount" fld="1" baseField="0" baseItem="0"/>
  </dataFields>
  <formats count="3">
    <format dxfId="45">
      <pivotArea collapsedLevelsAreSubtotals="1" fieldPosition="0">
        <references count="1">
          <reference field="0" count="1">
            <x v="0"/>
          </reference>
        </references>
      </pivotArea>
    </format>
    <format dxfId="44">
      <pivotArea collapsedLevelsAreSubtotals="1" fieldPosition="0">
        <references count="1">
          <reference field="0" count="1">
            <x v="1"/>
          </reference>
        </references>
      </pivotArea>
    </format>
    <format dxfId="43">
      <pivotArea grandRow="1"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974C7F67-BED3-4F31-AAC5-DA6C5B10EC76}" name="PivotTable26" cacheId="19" applyNumberFormats="0" applyBorderFormats="0" applyFontFormats="0" applyPatternFormats="0" applyAlignmentFormats="0" applyWidthHeightFormats="1" dataCaption="Values" tag="7aabbd84-e2bd-415b-a528-3a7874a63425" updatedVersion="8" minRefreshableVersion="3" useAutoFormatting="1" subtotalHiddenItems="1" itemPrintTitles="1" createdVersion="8" indent="0" outline="1" outlineData="1" multipleFieldFilters="0" chartFormat="22" rowHeaderCaption="Account type">
  <location ref="M65:N77"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Average of Amount" fld="1" subtotal="average" baseField="0" baseItem="0"/>
  </dataFields>
  <formats count="2">
    <format dxfId="47">
      <pivotArea outline="0" collapsedLevelsAreSubtotals="1" fieldPosition="0"/>
    </format>
    <format dxfId="46">
      <pivotArea collapsedLevelsAreSubtotals="1" fieldPosition="0">
        <references count="1">
          <reference field="0" count="1">
            <x v="0"/>
          </reference>
        </references>
      </pivotArea>
    </format>
  </formats>
  <chartFormats count="5">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9805FA86-C226-4349-A690-B1F024EE14DC}" name="PivotTable38" cacheId="34"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AH1:AI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omplaintID" fld="1" subtotal="count" baseField="0" baseItem="0"/>
  </dataFields>
  <formats count="2">
    <format dxfId="49">
      <pivotArea grandRow="1" outline="0" collapsedLevelsAreSubtotals="1" fieldPosition="0"/>
    </format>
    <format dxfId="48">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EC11EA92-DC20-4FD5-A70E-FEFE646E0FDB}" name="PivotTable3" cacheId="3" applyNumberFormats="0" applyBorderFormats="0" applyFontFormats="0" applyPatternFormats="0" applyAlignmentFormats="0" applyWidthHeightFormats="1" dataCaption="Values" tag="37f7a1e0-ed10-4da7-bbb8-3cb7b7af8eea" updatedVersion="8" minRefreshableVersion="3" useAutoFormatting="1" subtotalHiddenItems="1" itemPrintTitles="1" createdVersion="8" indent="0" outline="1" outlineData="1" multipleFieldFilters="0" chartFormat="3" rowHeaderCaption="Account type">
  <location ref="A22:A23" firstHeaderRow="1" firstDataRow="1" firstDataCol="0"/>
  <pivotFields count="1">
    <pivotField dataField="1" subtotalTop="0" showAll="0" defaultSubtotal="0"/>
  </pivotFields>
  <rowItems count="1">
    <i/>
  </rowItems>
  <colItems count="1">
    <i/>
  </colItems>
  <dataFields count="1">
    <dataField name="Sum of Amount" fld="0" baseField="0" baseItem="0" numFmtId="166"/>
  </dataFields>
  <formats count="1">
    <format dxfId="50">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1E665955-D152-4EC8-A09D-1AF2ED585527}" name="PivotTable32" cacheId="10" applyNumberFormats="0" applyBorderFormats="0" applyFontFormats="0" applyPatternFormats="0" applyAlignmentFormats="0" applyWidthHeightFormats="1" dataCaption="Values" tag="96eb3659-f86a-4446-973a-2df41d9fc952" updatedVersion="8" minRefreshableVersion="3" useAutoFormatting="1" subtotalHiddenItems="1" itemPrintTitles="1" createdVersion="8" indent="0" outline="1" outlineData="1" multipleFieldFilters="0" chartFormat="9" rowHeaderCaption="Account type">
  <location ref="M79:N84"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v="1"/>
    </i>
    <i>
      <x/>
    </i>
    <i t="grand">
      <x/>
    </i>
  </rowItems>
  <colItems count="1">
    <i/>
  </colItems>
  <dataFields count="1">
    <dataField name="Sum of Profit" fld="1" baseField="0" baseItem="0" numFmtId="167"/>
  </dataFields>
  <formats count="1">
    <format dxfId="51">
      <pivotArea outline="0" collapsedLevelsAreSubtotals="1" fieldPosition="0"/>
    </format>
  </formats>
  <chartFormats count="5">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B1C7017C-986A-4766-B762-2B8DC43BCF69}" name="PivotTable17" cacheId="2" applyNumberFormats="0" applyBorderFormats="0" applyFontFormats="0" applyPatternFormats="0" applyAlignmentFormats="0" applyWidthHeightFormats="1" dataCaption="Values" tag="a5d0bba6-6477-4660-84fd-1d03d621ce2d" updatedVersion="8" minRefreshableVersion="3" useAutoFormatting="1" subtotalHiddenItems="1" itemPrintTitles="1" createdVersion="8" indent="0" outline="1" outlineData="1" multipleFieldFilters="0" chartFormat="10" rowHeaderCaption="Account type">
  <location ref="P19:Q25" firstHeaderRow="1" firstDataRow="1" firstDataCol="1"/>
  <pivotFields count="2">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Count of TransID" fld="0" subtotal="count" baseField="0" baseItem="0" numFmtId="168"/>
  </dataFields>
  <formats count="1">
    <format dxfId="52">
      <pivotArea outline="0" collapsedLevelsAreSubtotals="1" fieldPosition="0"/>
    </format>
  </formats>
  <chartFormats count="2">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0">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9ABC4D69-D491-4B3D-B7A3-541B16D9B09F}" name="PivotTable12" cacheId="23"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M10:N1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Average of Balance" fld="1" subtotal="average" baseField="0" baseItem="0"/>
  </dataFields>
  <formats count="5">
    <format dxfId="57">
      <pivotArea grandRow="1" outline="0" collapsedLevelsAreSubtotals="1" fieldPosition="0"/>
    </format>
    <format dxfId="56">
      <pivotArea collapsedLevelsAreSubtotals="1" fieldPosition="0">
        <references count="1">
          <reference field="0" count="1">
            <x v="3"/>
          </reference>
        </references>
      </pivotArea>
    </format>
    <format dxfId="55">
      <pivotArea collapsedLevelsAreSubtotals="1" fieldPosition="0">
        <references count="1">
          <reference field="0" count="1">
            <x v="1"/>
          </reference>
        </references>
      </pivotArea>
    </format>
    <format dxfId="54">
      <pivotArea collapsedLevelsAreSubtotals="1" fieldPosition="0">
        <references count="1">
          <reference field="0" count="1">
            <x v="0"/>
          </reference>
        </references>
      </pivotArea>
    </format>
    <format dxfId="53">
      <pivotArea collapsedLevelsAreSubtotals="1" fieldPosition="0">
        <references count="1">
          <reference field="0" count="1">
            <x v="2"/>
          </reference>
        </references>
      </pivotArea>
    </format>
  </formats>
  <chartFormats count="1">
    <chartFormat chart="11" format="6"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49E38FE7-99E0-4935-9501-0FE87E53C1B4}" name="PivotTable45" cacheId="43"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V10:V11" firstHeaderRow="1" firstDataRow="1" firstDataCol="0"/>
  <pivotFields count="1">
    <pivotField dataField="1" subtotalTop="0" showAll="0" defaultSubtotal="0"/>
  </pivotFields>
  <rowItems count="1">
    <i/>
  </rowItems>
  <colItems count="1">
    <i/>
  </colItems>
  <dataFields count="1">
    <dataField name="Count of ComplaintID" fld="0" subtotal="count" baseField="0" baseItem="0"/>
  </dataFields>
  <formats count="2">
    <format dxfId="59">
      <pivotArea grandRow="1" outline="0" collapsedLevelsAreSubtotals="1" fieldPosition="0"/>
    </format>
    <format dxfId="58">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31B1D2BD-2DE5-49CA-824E-FA65CC30CF1C}" name="PivotTable9" cacheId="24" applyNumberFormats="0" applyBorderFormats="0" applyFontFormats="0" applyPatternFormats="0" applyAlignmentFormats="0" applyWidthHeightFormats="1" dataCaption="Values" tag="74127759-91fb-4032-afea-5a34993bb07d" updatedVersion="8" minRefreshableVersion="3" useAutoFormatting="1" subtotalHiddenItems="1" itemPrintTitles="1" createdVersion="8" indent="0" outline="1" outlineData="1" multipleFieldFilters="0" chartFormat="3" rowHeaderCaption="Account type">
  <location ref="A10:B1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1"/>
    </i>
    <i>
      <x v="2"/>
    </i>
    <i t="grand">
      <x/>
    </i>
  </rowItems>
  <colItems count="1">
    <i/>
  </colItems>
  <dataFields count="1">
    <dataField name="Count of Account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C6CD389C-F702-486F-80F4-A44ED8719DCE}" name="PivotTable8" cacheId="27" applyNumberFormats="0" applyBorderFormats="0" applyFontFormats="0" applyPatternFormats="0" applyAlignmentFormats="0" applyWidthHeightFormats="1" dataCaption="Values" tag="940bfe76-1765-47ea-b503-27bfd800f061" updatedVersion="8" minRefreshableVersion="3"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redit_Score" fld="0" subtotal="average" baseField="0" baseItem="0" numFmtId="1"/>
  </dataFields>
  <formats count="1">
    <format dxfId="60">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6D34304E-E1BE-4212-8040-647A096D71B7}" name="PivotTable5" cacheId="29" applyNumberFormats="0" applyBorderFormats="0" applyFontFormats="0" applyPatternFormats="0" applyAlignmentFormats="0" applyWidthHeightFormats="1" dataCaption="Values" tag="03267f84-df8e-49db-abbb-b77e5c362ae5" updatedVersion="8" minRefreshableVersion="3" useAutoFormatting="1" subtotalHiddenItems="1" itemPrintTitles="1" createdVersion="8" indent="0" outline="1" outlineData="1" multipleFieldFilters="0">
  <location ref="D3:E241" firstHeaderRow="1" firstDataRow="1" firstDataCol="1"/>
  <pivotFields count="4">
    <pivotField axis="axisRow" allDrilled="1" subtotalTop="0" showAll="0" measureFilter="1" dataSourceSort="1" defaultSubtotal="0" defaultAttributeDrillState="1">
      <items count="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s>
    </pivotField>
    <pivotField allDrilled="1" subtotalTop="0" showAll="0" measureFilter="1" dataSourceSort="1" defaultSubtotal="0" defaultAttributeDrillState="1">
      <items count="8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s>
    </pivotField>
    <pivotField dataField="1" subtotalTop="0" showAll="0" defaultSubtotal="0"/>
    <pivotField allDrilled="1" subtotalTop="0" showAll="0" dataSourceSort="1" defaultSubtotal="0" defaultAttributeDrillState="1"/>
  </pivotFields>
  <rowFields count="1">
    <field x="0"/>
  </rowFields>
  <rowItems count="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t="grand">
      <x/>
    </i>
  </rowItems>
  <colItems count="1">
    <i/>
  </colItems>
  <dataFields count="1">
    <dataField name="Count of AccountID" fld="2"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valueGreaterThanOrEqual" id="5" iMeasureHier="55">
      <autoFilter ref="A1">
        <filterColumn colId="0">
          <customFilters>
            <customFilter operator="greaterThanOrEqual" val="2"/>
          </customFilters>
        </filterColumn>
      </autoFilter>
    </filter>
    <filter fld="1" type="valueGreaterThan" id="4" iMeasureHier="53">
      <autoFilter ref="A1">
        <filterColumn colId="0">
          <customFilters>
            <customFilter operator="greaterThan" val="1"/>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DE2C0CC4-9B0B-483F-B765-1C3FF8378A11}" name="PivotTable14" cacheId="7" applyNumberFormats="0" applyBorderFormats="0" applyFontFormats="0" applyPatternFormats="0" applyAlignmentFormats="0" applyWidthHeightFormats="1" dataCaption="Values" tag="377057f7-926a-43f4-ac14-85b8e483cc76" updatedVersion="8" minRefreshableVersion="3" useAutoFormatting="1" subtotalHiddenItems="1" itemPrintTitles="1" createdVersion="8" indent="0" outline="1" outlineData="1" multipleFieldFilters="0" chartFormat="4" rowHeaderCaption="Account type">
  <location ref="J19:K24"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showDataAs="percentOfTotal" baseField="0" baseItem="0" numFmtId="10"/>
  </dataFields>
  <formats count="2">
    <format dxfId="62">
      <pivotArea outline="0" collapsedLevelsAreSubtotals="1" fieldPosition="0"/>
    </format>
    <format dxfId="61">
      <pivotArea outline="0" fieldPosition="0">
        <references count="1">
          <reference field="4294967294"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9C40B312-45D5-4236-9366-77C4A11658AF}" name="PivotTable1" cacheId="40"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7" rowHeaderCaption="Generations">
  <location ref="P10:Q13"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Credit_Score" fld="1" subtotal="average" baseField="0" baseItem="0"/>
  </dataFields>
  <formats count="2">
    <format dxfId="64">
      <pivotArea grandRow="1" outline="0" collapsedLevelsAreSubtotals="1" fieldPosition="0"/>
    </format>
    <format dxfId="63">
      <pivotArea collapsedLevelsAreSubtotals="1" fieldPosition="0">
        <references count="1">
          <reference field="0" count="0"/>
        </references>
      </pivotArea>
    </format>
  </formats>
  <chartFormats count="3">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17E0DCC4-EBCB-48B2-BF99-20DE23ACFF82}" name="PivotTable29" cacheId="5" applyNumberFormats="0" applyBorderFormats="0" applyFontFormats="0" applyPatternFormats="0" applyAlignmentFormats="0" applyWidthHeightFormats="1" dataCaption="Values" tag="dd4b1ede-48bf-44d0-8545-605fc63c53b6" updatedVersion="8" minRefreshableVersion="3" useAutoFormatting="1" subtotalHiddenItems="1" itemPrintTitles="1" createdVersion="8" indent="0" outline="1" outlineData="1" multipleFieldFilters="0" chartFormat="22" rowHeaderCaption="most profitable branch">
  <location ref="G79:H85"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i>
    <i>
      <x v="2"/>
    </i>
    <i>
      <x v="1"/>
    </i>
    <i t="grand">
      <x/>
    </i>
  </rowItems>
  <colItems count="1">
    <i/>
  </colItems>
  <dataFields count="1">
    <dataField name="Sum of Profit" fld="1" baseField="0" baseItem="0" numFmtId="167"/>
  </dataFields>
  <formats count="1">
    <format dxfId="65">
      <pivotArea outline="0" collapsedLevelsAreSubtotals="1" fieldPosition="0"/>
    </format>
  </formats>
  <chartFormats count="12">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0" count="1" selected="0">
            <x v="3"/>
          </reference>
        </references>
      </pivotArea>
    </chartFormat>
    <chartFormat chart="12" format="24">
      <pivotArea type="data" outline="0" fieldPosition="0">
        <references count="2">
          <reference field="4294967294" count="1" selected="0">
            <x v="0"/>
          </reference>
          <reference field="0" count="1" selected="0">
            <x v="4"/>
          </reference>
        </references>
      </pivotArea>
    </chartFormat>
    <chartFormat chart="12" format="25">
      <pivotArea type="data" outline="0" fieldPosition="0">
        <references count="2">
          <reference field="4294967294" count="1" selected="0">
            <x v="0"/>
          </reference>
          <reference field="0" count="1" selected="0">
            <x v="0"/>
          </reference>
        </references>
      </pivotArea>
    </chartFormat>
    <chartFormat chart="12" format="26">
      <pivotArea type="data" outline="0" fieldPosition="0">
        <references count="2">
          <reference field="4294967294" count="1" selected="0">
            <x v="0"/>
          </reference>
          <reference field="0" count="1" selected="0">
            <x v="2"/>
          </reference>
        </references>
      </pivotArea>
    </chartFormat>
    <chartFormat chart="12" format="27">
      <pivotArea type="data" outline="0" fieldPosition="0">
        <references count="2">
          <reference field="4294967294" count="1" selected="0">
            <x v="0"/>
          </reference>
          <reference field="0" count="1" selected="0">
            <x v="1"/>
          </reference>
        </references>
      </pivotArea>
    </chartFormat>
    <chartFormat chart="21" format="36" series="1">
      <pivotArea type="data" outline="0" fieldPosition="0">
        <references count="1">
          <reference field="4294967294" count="1" selected="0">
            <x v="0"/>
          </reference>
        </references>
      </pivotArea>
    </chartFormat>
    <chartFormat chart="21" format="37">
      <pivotArea type="data" outline="0" fieldPosition="0">
        <references count="2">
          <reference field="4294967294" count="1" selected="0">
            <x v="0"/>
          </reference>
          <reference field="0" count="1" selected="0">
            <x v="3"/>
          </reference>
        </references>
      </pivotArea>
    </chartFormat>
    <chartFormat chart="21" format="38">
      <pivotArea type="data" outline="0" fieldPosition="0">
        <references count="2">
          <reference field="4294967294" count="1" selected="0">
            <x v="0"/>
          </reference>
          <reference field="0" count="1" selected="0">
            <x v="4"/>
          </reference>
        </references>
      </pivotArea>
    </chartFormat>
    <chartFormat chart="21" format="39">
      <pivotArea type="data" outline="0" fieldPosition="0">
        <references count="2">
          <reference field="4294967294" count="1" selected="0">
            <x v="0"/>
          </reference>
          <reference field="0" count="1" selected="0">
            <x v="0"/>
          </reference>
        </references>
      </pivotArea>
    </chartFormat>
    <chartFormat chart="21" format="40">
      <pivotArea type="data" outline="0" fieldPosition="0">
        <references count="2">
          <reference field="4294967294" count="1" selected="0">
            <x v="0"/>
          </reference>
          <reference field="0" count="1" selected="0">
            <x v="2"/>
          </reference>
        </references>
      </pivotArea>
    </chartFormat>
    <chartFormat chart="21" format="41">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96901C30-E8F0-479A-8530-564C6566C623}" name="PivotTable11" cacheId="22" applyNumberFormats="0" applyBorderFormats="0" applyFontFormats="0" applyPatternFormats="0" applyAlignmentFormats="0" applyWidthHeightFormats="1" dataCaption="Values" tag="c30da501-2e51-46ee-a687-6ff697da5d1b" updatedVersion="8" minRefreshableVersion="3" useAutoFormatting="1" subtotalHiddenItems="1" itemPrintTitles="1" createdVersion="8" indent="0" outline="1" outlineData="1" multipleFieldFilters="0" chartFormat="9" rowHeaderCaption="Customer Segment">
  <location ref="J10:K14"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Average of Balance" fld="1" subtotal="average" baseField="0" baseItem="0"/>
  </dataFields>
  <formats count="4">
    <format dxfId="69">
      <pivotArea collapsedLevelsAreSubtotals="1" fieldPosition="0">
        <references count="1">
          <reference field="0" count="1">
            <x v="0"/>
          </reference>
        </references>
      </pivotArea>
    </format>
    <format dxfId="68">
      <pivotArea collapsedLevelsAreSubtotals="1" fieldPosition="0">
        <references count="1">
          <reference field="0" count="1">
            <x v="1"/>
          </reference>
        </references>
      </pivotArea>
    </format>
    <format dxfId="67">
      <pivotArea collapsedLevelsAreSubtotals="1" fieldPosition="0">
        <references count="1">
          <reference field="0" count="1">
            <x v="2"/>
          </reference>
        </references>
      </pivotArea>
    </format>
    <format dxfId="66">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6A50877F-DDB1-4530-B3F9-D4CDEBC80061}" name="PivotTable20" cacheId="1" applyNumberFormats="0" applyBorderFormats="0" applyFontFormats="0" applyPatternFormats="0" applyAlignmentFormats="0" applyWidthHeightFormats="1" dataCaption="Values" tag="a54580cf-e4c0-46c1-b696-bcbd20f8db98" updatedVersion="8" minRefreshableVersion="3" useAutoFormatting="1" subtotalHiddenItems="1" itemPrintTitles="1" createdVersion="8" indent="0" outline="1" outlineData="1" multipleFieldFilters="0" chartFormat="4" rowHeaderCaption="Account type">
  <location ref="G46:H50" firstHeaderRow="1" firstDataRow="1" firstDataCol="1"/>
  <pivotFields count="5">
    <pivotField dataField="1" subtotalTop="0" showAll="0" defaultSubtotal="0"/>
    <pivotField axis="axisRow" allDrilled="1" subtotalTop="0" showAll="0" dataSourceSort="1" defaultSubtotal="0" defaultAttributeDrillState="1">
      <items count="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s>
  <rowFields count="4">
    <field x="4"/>
    <field x="3"/>
    <field x="2"/>
    <field x="1"/>
  </rowFields>
  <rowItems count="4">
    <i>
      <x/>
    </i>
    <i>
      <x v="1"/>
    </i>
    <i>
      <x v="2"/>
    </i>
    <i t="grand">
      <x/>
    </i>
  </rowItems>
  <colItems count="1">
    <i/>
  </colItems>
  <dataFields count="1">
    <dataField name="Count of TransID" fld="0" subtotal="count" baseField="0" baseItem="0"/>
  </dataFields>
  <formats count="1">
    <format dxfId="70">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48"/>
    <rowHierarchyUsage hierarchyUsage="49"/>
    <rowHierarchyUsage hierarchyUsage="50"/>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7D9C0109-317D-4013-BD81-67219F1168EB}" name="PivotTable43" cacheId="44" applyNumberFormats="0" applyBorderFormats="0" applyFontFormats="0" applyPatternFormats="0" applyAlignmentFormats="0" applyWidthHeightFormats="1" dataCaption="Values" tag="bfc45498-9fc1-441f-8509-c2e34393fee4" updatedVersion="8" minRefreshableVersion="3" useAutoFormatting="1" subtotalHiddenItems="1" itemPrintTitles="1" createdVersion="8" indent="0" outline="1" outlineData="1" multipleFieldFilters="0" chartFormat="16" rowHeaderCaption="Generations">
  <location ref="AT5:AU11"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i>
    <i>
      <x v="4"/>
    </i>
    <i>
      <x v="2"/>
    </i>
    <i t="grand">
      <x/>
    </i>
  </rowItems>
  <colItems count="1">
    <i/>
  </colItems>
  <dataFields count="1">
    <dataField name="Average of Resolution_Time(days)" fld="1" subtotal="average" baseField="0" baseItem="0"/>
  </dataFields>
  <formats count="2">
    <format dxfId="72">
      <pivotArea grandRow="1" outline="0" collapsedLevelsAreSubtotals="1" fieldPosition="0"/>
    </format>
    <format dxfId="71">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08140F50-8C11-4CB1-AE4C-4083EF537451}" name="PivotTable27" cacheId="4" applyNumberFormats="0" applyBorderFormats="0" applyFontFormats="0" applyPatternFormats="0" applyAlignmentFormats="0" applyWidthHeightFormats="1" dataCaption="Values" tag="44fcd300-d226-4e61-8269-9f88fa162fc7" updatedVersion="8" minRefreshableVersion="3" useAutoFormatting="1" subtotalHiddenItems="1" itemPrintTitles="1" createdVersion="8" indent="0" outline="1" outlineData="1" multipleFieldFilters="0" chartFormat="25" rowHeaderCaption="Account type">
  <location ref="A93:B99" firstHeaderRow="1" firstDataRow="1" firstDataCol="1"/>
  <pivotFields count="3">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2"/>
    </i>
    <i>
      <x v="1"/>
    </i>
    <i>
      <x v="4"/>
    </i>
    <i>
      <x/>
    </i>
    <i>
      <x v="3"/>
    </i>
    <i t="grand">
      <x/>
    </i>
  </rowItems>
  <colItems count="1">
    <i/>
  </colItems>
  <dataFields count="1">
    <dataField name="Sum of Revenue" fld="1" baseField="0" baseItem="0" numFmtId="167"/>
  </dataFields>
  <formats count="1">
    <format dxfId="73">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6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97F7D0D1-0704-4CF3-8821-A280F20E57DB}" name="PivotTable7" cacheId="26" applyNumberFormats="0" applyBorderFormats="0" applyFontFormats="0" applyPatternFormats="0" applyAlignmentFormats="0" applyWidthHeightFormats="1" dataCaption="Values" tag="f4372d4f-cfbb-4dbf-8ee6-337d02d60460" updatedVersion="8" minRefreshableVersion="3" useAutoFormatting="1" subtotalHiddenItems="1" itemPrintTitles="1" createdVersion="8" indent="0" outline="1" outlineData="1" multipleFieldFilters="0">
  <location ref="J1:K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Loan_Amount" fld="1" baseField="0" baseItem="0"/>
  </dataFields>
  <formats count="5">
    <format dxfId="78">
      <pivotArea collapsedLevelsAreSubtotals="1" fieldPosition="0">
        <references count="1">
          <reference field="0" count="1">
            <x v="0"/>
          </reference>
        </references>
      </pivotArea>
    </format>
    <format dxfId="77">
      <pivotArea grandRow="1" outline="0" collapsedLevelsAreSubtotals="1" fieldPosition="0"/>
    </format>
    <format dxfId="76">
      <pivotArea collapsedLevelsAreSubtotals="1" fieldPosition="0">
        <references count="1">
          <reference field="0" count="1">
            <x v="1"/>
          </reference>
        </references>
      </pivotArea>
    </format>
    <format dxfId="75">
      <pivotArea collapsedLevelsAreSubtotals="1" fieldPosition="0">
        <references count="1">
          <reference field="0" count="1">
            <x v="2"/>
          </reference>
        </references>
      </pivotArea>
    </format>
    <format dxfId="74">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1DDB20BD-1C21-463D-A1F0-7E738B158131}" name="PivotTable41" cacheId="38" applyNumberFormats="0" applyBorderFormats="0" applyFontFormats="0" applyPatternFormats="0" applyAlignmentFormats="0" applyWidthHeightFormats="1" dataCaption="Values" tag="1c515dcf-9d98-47c4-bcc5-ff162751c768" updatedVersion="8" minRefreshableVersion="3" useAutoFormatting="1" subtotalHiddenItems="1" itemPrintTitles="1" createdVersion="8" indent="0" outline="1" outlineData="1" multipleFieldFilters="0" chartFormat="16" rowHeaderCaption="Generations">
  <location ref="AN5:AO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omplaintID" fld="1" subtotal="count" baseField="0" baseItem="0"/>
  </dataFields>
  <formats count="2">
    <format dxfId="80">
      <pivotArea grandRow="1" outline="0" collapsedLevelsAreSubtotals="1" fieldPosition="0"/>
    </format>
    <format dxfId="79">
      <pivotArea outline="0" collapsedLevelsAreSubtotals="1" fieldPosition="0"/>
    </format>
  </formats>
  <chartFormats count="3">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0"/>
          </reference>
        </references>
      </pivotArea>
    </chartFormat>
    <chartFormat chart="15" format="8">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0BA7471-80CB-4D99-BA58-162D288151E6}" sourceName="Customer_Segment">
  <pivotTables>
    <pivotTable tabId="4" name="PivotTable1"/>
  </pivotTables>
  <data>
    <tabular pivotCacheId="162528972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97F9CEFA-2119-424D-9C16-5C2159D7FB40}" sourceName="[Table2_1].[Customer_Segment]">
  <pivotTables>
    <pivotTable tabId="8" name="PivotTable11"/>
    <pivotTable tabId="8" name="PivotTable1"/>
    <pivotTable tabId="8" name="PivotTable12"/>
    <pivotTable tabId="8" name="PivotTable9"/>
    <pivotTable tabId="8" name="PivotTable6"/>
    <pivotTable tabId="8" name="PivotTable7"/>
    <pivotTable tabId="8" name="PivotTable8"/>
    <pivotTable tabId="8" name="PivotTable4"/>
    <pivotTable tabId="8" name="PivotTable5"/>
    <pivotTable tabId="8" name="PivotTable34"/>
    <pivotTable tabId="8" name="PivotTable31"/>
    <pivotTable tabId="8" name="PivotTable33"/>
    <pivotTable tabId="8" name="PivotTable36"/>
    <pivotTable tabId="8" name="PivotTable37"/>
    <pivotTable tabId="8" name="PivotTable38"/>
    <pivotTable tabId="8" name="PivotTable28"/>
    <pivotTable tabId="8" name="PivotTable39"/>
    <pivotTable tabId="8" name="PivotTable40"/>
    <pivotTable tabId="8" name="PivotTable41"/>
    <pivotTable tabId="8" name="PivotTable42"/>
    <pivotTable tabId="8" name="PivotTable43"/>
    <pivotTable tabId="8" name="PivotTable45"/>
  </pivotTables>
  <data>
    <olap pivotCacheId="1855902215">
      <levels count="2">
        <level uniqueName="[Table2_1].[Customer_Segment].[(All)]" sourceCaption="(All)" count="0"/>
        <level uniqueName="[Table2_1].[Customer_Segment].[Customer_Segment]" sourceCaption="Customer_Segment" count="3">
          <ranges>
            <range startItem="0">
              <i n="[Table2_1].[Customer_Segment].&amp;[Corporate]" c="Corporate"/>
              <i n="[Table2_1].[Customer_Segment].&amp;[Private]" c="Private"/>
              <i n="[Table2_1].[Customer_Segment].&amp;[Retail]" c="Retail"/>
            </range>
          </ranges>
        </level>
      </levels>
      <selections count="1">
        <selection n="[Table2_1].[Customer_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EA0A9D8-4766-49FF-BD3F-5BFC0CFC9E0B}" sourceName="[Table2_1].[Age group]">
  <pivotTables>
    <pivotTable tabId="8" name="PivotTable12"/>
    <pivotTable tabId="8" name="PivotTable31"/>
    <pivotTable tabId="8" name="PivotTable33"/>
    <pivotTable tabId="8" name="PivotTable36"/>
    <pivotTable tabId="8" name="PivotTable37"/>
    <pivotTable tabId="8" name="PivotTable38"/>
    <pivotTable tabId="8" name="PivotTable28"/>
    <pivotTable tabId="8" name="PivotTable39"/>
    <pivotTable tabId="8" name="PivotTable40"/>
    <pivotTable tabId="8" name="PivotTable41"/>
    <pivotTable tabId="8" name="PivotTable42"/>
    <pivotTable tabId="8" name="PivotTable43"/>
    <pivotTable tabId="8" name="PivotTable45"/>
  </pivotTables>
  <data>
    <olap pivotCacheId="1855902215">
      <levels count="2">
        <level uniqueName="[Table2_1].[Age group].[(All)]" sourceCaption="(All)" count="0"/>
        <level uniqueName="[Table2_1].[Age group].[Age group]" sourceCaption="Age group" count="4">
          <ranges>
            <range startItem="0">
              <i n="[Table2_1].[Age group].&amp;[Boomers]" c="Boomers"/>
              <i n="[Table2_1].[Age group].&amp;[Gen X]" c="Gen X"/>
              <i n="[Table2_1].[Age group].&amp;[Gen Z]" c="Gen Z"/>
              <i n="[Table2_1].[Age group].&amp;[Millennials]" c="Millennials"/>
            </range>
          </ranges>
        </level>
      </levels>
      <selections count="1">
        <selection n="[Table2_1].[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9A3383DE-0EF4-4102-B488-748D9EF51D07}" cache="Slicer_Customer_Segment" caption="Customer_Seg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B9144BC0-5188-43EB-9B29-EFD290603CCB}" cache="Slicer_Customer_Segment1" caption="Customer_Segment" showCaption="0" level="1" style="SlicerStyleLight1 2" rowHeight="576000"/>
  <slicer name="Age group" xr10:uid="{EB3E88FD-EF71-473D-8406-39F79A6CCD6B}" cache="Slicer_Age_group" caption="Age group" showCaption="0" level="1" style="SlicerStyleLight1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669D90-2E0A-42D0-B09F-96764DCE9D70}" name="Table2_1" displayName="Table2_1" ref="A1:N501" totalsRowShown="0">
  <autoFilter ref="A1:N501" xr:uid="{DB669D90-2E0A-42D0-B09F-96764DCE9D70}"/>
  <tableColumns count="14">
    <tableColumn id="1" xr3:uid="{6956FE91-6013-4E6E-B69C-620C57FC6749}" name="CustomerID" dataDxfId="107"/>
    <tableColumn id="2" xr3:uid="{6F5E496D-5E6C-4906-9E9A-A38BC5164D63}" name="Name" dataDxfId="106"/>
    <tableColumn id="3" xr3:uid="{DAC0ACFA-629A-4D99-A8BE-4561FCA208F7}" name="Gender" dataDxfId="105"/>
    <tableColumn id="4" xr3:uid="{770FF7D3-BC13-4A5F-B323-C60A03BB131F}" name="Age"/>
    <tableColumn id="12" xr3:uid="{9391D27D-AF9F-4432-9AA6-E44356CB02E4}" name="Age group" dataDxfId="104">
      <calculatedColumnFormula array="1">_xlfn.IFS(D2 &lt; 26, "Gen Z", D2 &lt;= 41, "Millennials", D2 &lt;= 57, "Gen X", D2 &gt;= 58, "Boomers")</calculatedColumnFormula>
    </tableColumn>
    <tableColumn id="5" xr3:uid="{F7EA48A8-D70B-47C0-B865-92BA26D6543F}" name="Region" dataDxfId="103"/>
    <tableColumn id="6" xr3:uid="{6E998C32-80A3-4AD9-ADB4-70FB7E6BFE57}" name="Occupation" dataDxfId="102"/>
    <tableColumn id="7" xr3:uid="{7B4E53A2-EB49-4B58-9B63-35BD8E0EA1A1}" name="Income"/>
    <tableColumn id="13" xr3:uid="{0260A40C-7E75-4CC9-8F9F-98121FC21EA1}" name="Income Bracket" dataDxfId="101">
      <calculatedColumnFormula array="1">_xlfn.IFS(H2 &lt; 30000, "Low", H2 &lt; 60000, "Medium", H2 &lt; 100000, "High", H2 &gt;= 100000, "Premium")</calculatedColumnFormula>
    </tableColumn>
    <tableColumn id="8" xr3:uid="{08181AB5-880D-4D6E-BD7E-BAFFA2F1B011}" name="Customer_Segment" dataDxfId="100"/>
    <tableColumn id="9" xr3:uid="{A825D401-763A-4914-9C0B-5F22518D5B62}" name="Join Date" dataDxfId="99"/>
    <tableColumn id="14" xr3:uid="{AF0C7341-3CE1-4FDE-89F1-DA838C58463C}" name="Tenure(years)" dataDxfId="98">
      <calculatedColumnFormula>DATEDIF(K2, TODAY(), "Y")</calculatedColumnFormula>
    </tableColumn>
    <tableColumn id="15" xr3:uid="{C9FDA07A-7E7C-455B-BD13-F68B01E2E8E1}" name="Tenure Category" dataDxfId="97">
      <calculatedColumnFormula array="1">_xlfn.IFS( L2 &lt;=2, "New", L2&lt;=6, "Engaged", L2 &gt;6, "Loyal")</calculatedColumnFormula>
    </tableColumn>
    <tableColumn id="16" xr3:uid="{12F9D896-2184-4591-AA85-2171F45E50CE}" name="Join Year" dataDxfId="96">
      <calculatedColumnFormula>YEAR(K2)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28.xml"/><Relationship Id="rId18" Type="http://schemas.openxmlformats.org/officeDocument/2006/relationships/pivotTable" Target="../pivotTables/pivotTable33.xml"/><Relationship Id="rId26" Type="http://schemas.openxmlformats.org/officeDocument/2006/relationships/pivotTable" Target="../pivotTables/pivotTable41.xml"/><Relationship Id="rId39" Type="http://schemas.openxmlformats.org/officeDocument/2006/relationships/pivotTable" Target="../pivotTables/pivotTable54.xml"/><Relationship Id="rId21" Type="http://schemas.openxmlformats.org/officeDocument/2006/relationships/pivotTable" Target="../pivotTables/pivotTable36.xml"/><Relationship Id="rId34" Type="http://schemas.openxmlformats.org/officeDocument/2006/relationships/pivotTable" Target="../pivotTables/pivotTable49.xml"/><Relationship Id="rId42" Type="http://schemas.openxmlformats.org/officeDocument/2006/relationships/pivotTable" Target="../pivotTables/pivotTable57.xml"/><Relationship Id="rId7" Type="http://schemas.openxmlformats.org/officeDocument/2006/relationships/pivotTable" Target="../pivotTables/pivotTable22.xml"/><Relationship Id="rId2" Type="http://schemas.openxmlformats.org/officeDocument/2006/relationships/pivotTable" Target="../pivotTables/pivotTable17.xml"/><Relationship Id="rId16" Type="http://schemas.openxmlformats.org/officeDocument/2006/relationships/pivotTable" Target="../pivotTables/pivotTable31.xml"/><Relationship Id="rId29" Type="http://schemas.openxmlformats.org/officeDocument/2006/relationships/pivotTable" Target="../pivotTables/pivotTable44.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24" Type="http://schemas.openxmlformats.org/officeDocument/2006/relationships/pivotTable" Target="../pivotTables/pivotTable39.xml"/><Relationship Id="rId32" Type="http://schemas.openxmlformats.org/officeDocument/2006/relationships/pivotTable" Target="../pivotTables/pivotTable47.xml"/><Relationship Id="rId37" Type="http://schemas.openxmlformats.org/officeDocument/2006/relationships/pivotTable" Target="../pivotTables/pivotTable52.xml"/><Relationship Id="rId40" Type="http://schemas.openxmlformats.org/officeDocument/2006/relationships/pivotTable" Target="../pivotTables/pivotTable55.xml"/><Relationship Id="rId45" Type="http://schemas.openxmlformats.org/officeDocument/2006/relationships/drawing" Target="../drawings/drawing2.xml"/><Relationship Id="rId5" Type="http://schemas.openxmlformats.org/officeDocument/2006/relationships/pivotTable" Target="../pivotTables/pivotTable20.xml"/><Relationship Id="rId15" Type="http://schemas.openxmlformats.org/officeDocument/2006/relationships/pivotTable" Target="../pivotTables/pivotTable30.xml"/><Relationship Id="rId23" Type="http://schemas.openxmlformats.org/officeDocument/2006/relationships/pivotTable" Target="../pivotTables/pivotTable38.xml"/><Relationship Id="rId28" Type="http://schemas.openxmlformats.org/officeDocument/2006/relationships/pivotTable" Target="../pivotTables/pivotTable43.xml"/><Relationship Id="rId36" Type="http://schemas.openxmlformats.org/officeDocument/2006/relationships/pivotTable" Target="../pivotTables/pivotTable51.xml"/><Relationship Id="rId10" Type="http://schemas.openxmlformats.org/officeDocument/2006/relationships/pivotTable" Target="../pivotTables/pivotTable25.xml"/><Relationship Id="rId19" Type="http://schemas.openxmlformats.org/officeDocument/2006/relationships/pivotTable" Target="../pivotTables/pivotTable34.xml"/><Relationship Id="rId31" Type="http://schemas.openxmlformats.org/officeDocument/2006/relationships/pivotTable" Target="../pivotTables/pivotTable46.xml"/><Relationship Id="rId44" Type="http://schemas.openxmlformats.org/officeDocument/2006/relationships/pivotTable" Target="../pivotTables/pivotTable59.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 Id="rId22" Type="http://schemas.openxmlformats.org/officeDocument/2006/relationships/pivotTable" Target="../pivotTables/pivotTable37.xml"/><Relationship Id="rId27" Type="http://schemas.openxmlformats.org/officeDocument/2006/relationships/pivotTable" Target="../pivotTables/pivotTable42.xml"/><Relationship Id="rId30" Type="http://schemas.openxmlformats.org/officeDocument/2006/relationships/pivotTable" Target="../pivotTables/pivotTable45.xml"/><Relationship Id="rId35" Type="http://schemas.openxmlformats.org/officeDocument/2006/relationships/pivotTable" Target="../pivotTables/pivotTable50.xml"/><Relationship Id="rId43" Type="http://schemas.openxmlformats.org/officeDocument/2006/relationships/pivotTable" Target="../pivotTables/pivotTable58.xml"/><Relationship Id="rId8" Type="http://schemas.openxmlformats.org/officeDocument/2006/relationships/pivotTable" Target="../pivotTables/pivotTable23.xml"/><Relationship Id="rId3" Type="http://schemas.openxmlformats.org/officeDocument/2006/relationships/pivotTable" Target="../pivotTables/pivotTable18.xml"/><Relationship Id="rId12" Type="http://schemas.openxmlformats.org/officeDocument/2006/relationships/pivotTable" Target="../pivotTables/pivotTable27.xml"/><Relationship Id="rId17" Type="http://schemas.openxmlformats.org/officeDocument/2006/relationships/pivotTable" Target="../pivotTables/pivotTable32.xml"/><Relationship Id="rId25" Type="http://schemas.openxmlformats.org/officeDocument/2006/relationships/pivotTable" Target="../pivotTables/pivotTable40.xml"/><Relationship Id="rId33" Type="http://schemas.openxmlformats.org/officeDocument/2006/relationships/pivotTable" Target="../pivotTables/pivotTable48.xml"/><Relationship Id="rId38" Type="http://schemas.openxmlformats.org/officeDocument/2006/relationships/pivotTable" Target="../pivotTables/pivotTable53.xml"/><Relationship Id="rId20" Type="http://schemas.openxmlformats.org/officeDocument/2006/relationships/pivotTable" Target="../pivotTables/pivotTable35.xml"/><Relationship Id="rId41" Type="http://schemas.openxmlformats.org/officeDocument/2006/relationships/pivotTable" Target="../pivotTables/pivotTable5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EE78-E5BA-4708-8257-A7F4BACBC220}">
  <dimension ref="A1:N501"/>
  <sheetViews>
    <sheetView topLeftCell="B1" zoomScale="75" zoomScaleNormal="85" workbookViewId="0">
      <selection activeCell="E1" sqref="E1:E1048576"/>
    </sheetView>
  </sheetViews>
  <sheetFormatPr defaultRowHeight="15" x14ac:dyDescent="0.25"/>
  <cols>
    <col min="1" max="1" width="14.28515625" bestFit="1" customWidth="1"/>
    <col min="2" max="2" width="27" bestFit="1" customWidth="1"/>
    <col min="3" max="3" width="10" bestFit="1" customWidth="1"/>
    <col min="4" max="4" width="6.5703125" bestFit="1" customWidth="1"/>
    <col min="5" max="5" width="12.140625" bestFit="1" customWidth="1"/>
    <col min="6" max="6" width="9.5703125" bestFit="1" customWidth="1"/>
    <col min="7" max="7" width="13.5703125" bestFit="1" customWidth="1"/>
    <col min="8" max="8" width="10" bestFit="1" customWidth="1"/>
    <col min="9" max="9" width="17.28515625" bestFit="1" customWidth="1"/>
    <col min="10" max="10" width="21.42578125" bestFit="1" customWidth="1"/>
    <col min="11" max="11" width="17.28515625" bestFit="1" customWidth="1"/>
    <col min="12" max="12" width="16" bestFit="1" customWidth="1"/>
    <col min="13" max="13" width="18.28515625" bestFit="1" customWidth="1"/>
    <col min="14" max="14" width="11.28515625" bestFit="1" customWidth="1"/>
  </cols>
  <sheetData>
    <row r="1" spans="1:14" x14ac:dyDescent="0.25">
      <c r="A1" t="s">
        <v>0</v>
      </c>
      <c r="B1" t="s">
        <v>1</v>
      </c>
      <c r="C1" t="s">
        <v>2</v>
      </c>
      <c r="D1" t="s">
        <v>3</v>
      </c>
      <c r="E1" t="s">
        <v>1023</v>
      </c>
      <c r="F1" t="s">
        <v>4</v>
      </c>
      <c r="G1" t="s">
        <v>5</v>
      </c>
      <c r="H1" t="s">
        <v>6</v>
      </c>
      <c r="I1" t="s">
        <v>1024</v>
      </c>
      <c r="J1" t="s">
        <v>7</v>
      </c>
      <c r="K1" t="s">
        <v>1048</v>
      </c>
      <c r="L1" t="s">
        <v>1026</v>
      </c>
      <c r="M1" t="s">
        <v>1025</v>
      </c>
      <c r="N1" t="s">
        <v>1047</v>
      </c>
    </row>
    <row r="2" spans="1:14" x14ac:dyDescent="0.25">
      <c r="A2" t="s">
        <v>8</v>
      </c>
      <c r="B2" t="s">
        <v>9</v>
      </c>
      <c r="C2" t="s">
        <v>10</v>
      </c>
      <c r="D2">
        <v>38</v>
      </c>
      <c r="E2" t="str" cm="1">
        <f t="array" ref="E2">_xlfn.IFS(D2 &lt; 26, "Gen Z", D2 &lt;= 41, "Millennials", D2 &lt;= 57, "Gen X", D2 &gt;= 58, "Boomers")</f>
        <v>Millennials</v>
      </c>
      <c r="F2" t="s">
        <v>11</v>
      </c>
      <c r="G2" t="s">
        <v>12</v>
      </c>
      <c r="H2">
        <v>191672</v>
      </c>
      <c r="I2" t="str" cm="1">
        <f t="array" ref="I2">_xlfn.IFS(H2 &lt; 30000, "Low", H2 &lt; 60000, "Medium", H2 &lt; 100000, "High", H2 &gt;= 100000, "Premium")</f>
        <v>Premium</v>
      </c>
      <c r="J2" t="s">
        <v>13</v>
      </c>
      <c r="K2" s="1">
        <v>45041</v>
      </c>
      <c r="L2">
        <f t="shared" ref="L2:L65" ca="1" si="0">DATEDIF(K2, TODAY(), "Y")</f>
        <v>2</v>
      </c>
      <c r="M2" t="str" cm="1">
        <f t="array" aca="1" ref="M2" ca="1">_xlfn.IFS( L2 &lt;=2, "New", L2&lt;=6, "Engaged", L2 &gt;6, "Loyal")</f>
        <v>New</v>
      </c>
      <c r="N2">
        <f t="shared" ref="N2:N65" si="1">YEAR(K2)</f>
        <v>2023</v>
      </c>
    </row>
    <row r="3" spans="1:14" x14ac:dyDescent="0.25">
      <c r="A3" t="s">
        <v>14</v>
      </c>
      <c r="B3" t="s">
        <v>15</v>
      </c>
      <c r="C3" t="s">
        <v>16</v>
      </c>
      <c r="D3">
        <v>49</v>
      </c>
      <c r="E3" t="str" cm="1">
        <f t="array" ref="E3">_xlfn.IFS(D3 &lt; 26, "Gen Z", D3 &lt;= 41, "Millennials", D3 &lt;= 57, "Gen X", D3 &gt;= 58, "Boomers")</f>
        <v>Gen X</v>
      </c>
      <c r="F3" t="s">
        <v>17</v>
      </c>
      <c r="G3" t="s">
        <v>18</v>
      </c>
      <c r="H3">
        <v>186472</v>
      </c>
      <c r="I3" t="str" cm="1">
        <f t="array" ref="I3">_xlfn.IFS(H3 &lt; 30000, "Low", H3 &lt; 60000, "Medium", H3 &lt; 100000, "High", H3 &gt;= 100000, "Premium")</f>
        <v>Premium</v>
      </c>
      <c r="J3" t="s">
        <v>19</v>
      </c>
      <c r="K3" s="1">
        <v>44331</v>
      </c>
      <c r="L3">
        <f t="shared" ca="1" si="0"/>
        <v>4</v>
      </c>
      <c r="M3" t="str" cm="1">
        <f t="array" aca="1" ref="M3" ca="1">_xlfn.IFS( L3 &lt;=2, "New", L3&lt;=6, "Engaged", L3 &gt;6, "Loyal")</f>
        <v>Engaged</v>
      </c>
      <c r="N3">
        <f t="shared" si="1"/>
        <v>2021</v>
      </c>
    </row>
    <row r="4" spans="1:14" x14ac:dyDescent="0.25">
      <c r="A4" t="s">
        <v>20</v>
      </c>
      <c r="B4" t="s">
        <v>21</v>
      </c>
      <c r="C4" t="s">
        <v>10</v>
      </c>
      <c r="D4">
        <v>40</v>
      </c>
      <c r="E4" t="str" cm="1">
        <f t="array" ref="E4">_xlfn.IFS(D4 &lt; 26, "Gen Z", D4 &lt;= 41, "Millennials", D4 &lt;= 57, "Gen X", D4 &gt;= 58, "Boomers")</f>
        <v>Millennials</v>
      </c>
      <c r="F4" t="s">
        <v>11</v>
      </c>
      <c r="G4" t="s">
        <v>22</v>
      </c>
      <c r="H4">
        <v>155566</v>
      </c>
      <c r="I4" t="str" cm="1">
        <f t="array" ref="I4">_xlfn.IFS(H4 &lt; 30000, "Low", H4 &lt; 60000, "Medium", H4 &lt; 100000, "High", H4 &gt;= 100000, "Premium")</f>
        <v>Premium</v>
      </c>
      <c r="J4" t="s">
        <v>23</v>
      </c>
      <c r="K4" s="1">
        <v>43438</v>
      </c>
      <c r="L4">
        <f t="shared" ca="1" si="0"/>
        <v>7</v>
      </c>
      <c r="M4" t="str" cm="1">
        <f t="array" aca="1" ref="M4" ca="1">_xlfn.IFS( L4 &lt;=2, "New", L4&lt;=6, "Engaged", L4 &gt;6, "Loyal")</f>
        <v>Loyal</v>
      </c>
      <c r="N4">
        <f t="shared" si="1"/>
        <v>2018</v>
      </c>
    </row>
    <row r="5" spans="1:14" x14ac:dyDescent="0.25">
      <c r="A5" t="s">
        <v>24</v>
      </c>
      <c r="B5" t="s">
        <v>25</v>
      </c>
      <c r="C5" t="s">
        <v>10</v>
      </c>
      <c r="D5">
        <v>50</v>
      </c>
      <c r="E5" t="str" cm="1">
        <f t="array" ref="E5">_xlfn.IFS(D5 &lt; 26, "Gen Z", D5 &lt;= 41, "Millennials", D5 &lt;= 57, "Gen X", D5 &gt;= 58, "Boomers")</f>
        <v>Gen X</v>
      </c>
      <c r="F5" t="s">
        <v>11</v>
      </c>
      <c r="G5" t="s">
        <v>26</v>
      </c>
      <c r="H5">
        <v>142744</v>
      </c>
      <c r="I5" t="str" cm="1">
        <f t="array" ref="I5">_xlfn.IFS(H5 &lt; 30000, "Low", H5 &lt; 60000, "Medium", H5 &lt; 100000, "High", H5 &gt;= 100000, "Premium")</f>
        <v>Premium</v>
      </c>
      <c r="J5" t="s">
        <v>13</v>
      </c>
      <c r="K5" s="1">
        <v>44494</v>
      </c>
      <c r="L5">
        <f t="shared" ca="1" si="0"/>
        <v>4</v>
      </c>
      <c r="M5" t="str" cm="1">
        <f t="array" aca="1" ref="M5" ca="1">_xlfn.IFS( L5 &lt;=2, "New", L5&lt;=6, "Engaged", L5 &gt;6, "Loyal")</f>
        <v>Engaged</v>
      </c>
      <c r="N5">
        <f t="shared" si="1"/>
        <v>2021</v>
      </c>
    </row>
    <row r="6" spans="1:14" x14ac:dyDescent="0.25">
      <c r="A6" t="s">
        <v>27</v>
      </c>
      <c r="B6" t="s">
        <v>28</v>
      </c>
      <c r="C6" t="s">
        <v>10</v>
      </c>
      <c r="D6">
        <v>20</v>
      </c>
      <c r="E6" t="str" cm="1">
        <f t="array" ref="E6">_xlfn.IFS(D6 &lt; 26, "Gen Z", D6 &lt;= 41, "Millennials", D6 &lt;= 57, "Gen X", D6 &gt;= 58, "Boomers")</f>
        <v>Gen Z</v>
      </c>
      <c r="F6" t="s">
        <v>29</v>
      </c>
      <c r="G6" t="s">
        <v>30</v>
      </c>
      <c r="H6">
        <v>109431</v>
      </c>
      <c r="I6" t="str" cm="1">
        <f t="array" ref="I6">_xlfn.IFS(H6 &lt; 30000, "Low", H6 &lt; 60000, "Medium", H6 &lt; 100000, "High", H6 &gt;= 100000, "Premium")</f>
        <v>Premium</v>
      </c>
      <c r="J6" t="s">
        <v>19</v>
      </c>
      <c r="K6" s="1">
        <v>43309</v>
      </c>
      <c r="L6">
        <f t="shared" ca="1" si="0"/>
        <v>7</v>
      </c>
      <c r="M6" t="str" cm="1">
        <f t="array" aca="1" ref="M6" ca="1">_xlfn.IFS( L6 &lt;=2, "New", L6&lt;=6, "Engaged", L6 &gt;6, "Loyal")</f>
        <v>Loyal</v>
      </c>
      <c r="N6">
        <f t="shared" si="1"/>
        <v>2018</v>
      </c>
    </row>
    <row r="7" spans="1:14" x14ac:dyDescent="0.25">
      <c r="A7" t="s">
        <v>31</v>
      </c>
      <c r="B7" t="s">
        <v>32</v>
      </c>
      <c r="C7" t="s">
        <v>16</v>
      </c>
      <c r="D7">
        <v>35</v>
      </c>
      <c r="E7" t="str" cm="1">
        <f t="array" ref="E7">_xlfn.IFS(D7 &lt; 26, "Gen Z", D7 &lt;= 41, "Millennials", D7 &lt;= 57, "Gen X", D7 &gt;= 58, "Boomers")</f>
        <v>Millennials</v>
      </c>
      <c r="F7" t="s">
        <v>33</v>
      </c>
      <c r="G7" t="s">
        <v>22</v>
      </c>
      <c r="H7">
        <v>63001</v>
      </c>
      <c r="I7" t="str" cm="1">
        <f t="array" ref="I7">_xlfn.IFS(H7 &lt; 30000, "Low", H7 &lt; 60000, "Medium", H7 &lt; 100000, "High", H7 &gt;= 100000, "Premium")</f>
        <v>High</v>
      </c>
      <c r="J7" t="s">
        <v>13</v>
      </c>
      <c r="K7" s="1">
        <v>42520</v>
      </c>
      <c r="L7">
        <f t="shared" ca="1" si="0"/>
        <v>9</v>
      </c>
      <c r="M7" t="str" cm="1">
        <f t="array" aca="1" ref="M7" ca="1">_xlfn.IFS( L7 &lt;=2, "New", L7&lt;=6, "Engaged", L7 &gt;6, "Loyal")</f>
        <v>Loyal</v>
      </c>
      <c r="N7">
        <f t="shared" si="1"/>
        <v>2016</v>
      </c>
    </row>
    <row r="8" spans="1:14" x14ac:dyDescent="0.25">
      <c r="A8" t="s">
        <v>34</v>
      </c>
      <c r="B8" t="s">
        <v>35</v>
      </c>
      <c r="C8" t="s">
        <v>10</v>
      </c>
      <c r="D8">
        <v>42</v>
      </c>
      <c r="E8" t="str" cm="1">
        <f t="array" ref="E8">_xlfn.IFS(D8 &lt; 26, "Gen Z", D8 &lt;= 41, "Millennials", D8 &lt;= 57, "Gen X", D8 &gt;= 58, "Boomers")</f>
        <v>Gen X</v>
      </c>
      <c r="F8" t="s">
        <v>11</v>
      </c>
      <c r="G8" t="s">
        <v>36</v>
      </c>
      <c r="H8">
        <v>87364</v>
      </c>
      <c r="I8" t="str" cm="1">
        <f t="array" ref="I8">_xlfn.IFS(H8 &lt; 30000, "Low", H8 &lt; 60000, "Medium", H8 &lt; 100000, "High", H8 &gt;= 100000, "Premium")</f>
        <v>High</v>
      </c>
      <c r="J8" t="s">
        <v>19</v>
      </c>
      <c r="K8" s="1">
        <v>43026</v>
      </c>
      <c r="L8">
        <f t="shared" ca="1" si="0"/>
        <v>8</v>
      </c>
      <c r="M8" t="str" cm="1">
        <f t="array" aca="1" ref="M8" ca="1">_xlfn.IFS( L8 &lt;=2, "New", L8&lt;=6, "Engaged", L8 &gt;6, "Loyal")</f>
        <v>Loyal</v>
      </c>
      <c r="N8">
        <f t="shared" si="1"/>
        <v>2017</v>
      </c>
    </row>
    <row r="9" spans="1:14" x14ac:dyDescent="0.25">
      <c r="A9" t="s">
        <v>37</v>
      </c>
      <c r="B9" t="s">
        <v>38</v>
      </c>
      <c r="C9" t="s">
        <v>10</v>
      </c>
      <c r="D9">
        <v>59</v>
      </c>
      <c r="E9" t="str" cm="1">
        <f t="array" ref="E9">_xlfn.IFS(D9 &lt; 26, "Gen Z", D9 &lt;= 41, "Millennials", D9 &lt;= 57, "Gen X", D9 &gt;= 58, "Boomers")</f>
        <v>Boomers</v>
      </c>
      <c r="F9" t="s">
        <v>11</v>
      </c>
      <c r="G9" t="s">
        <v>36</v>
      </c>
      <c r="H9">
        <v>144988</v>
      </c>
      <c r="I9" t="str" cm="1">
        <f t="array" ref="I9">_xlfn.IFS(H9 &lt; 30000, "Low", H9 &lt; 60000, "Medium", H9 &lt; 100000, "High", H9 &gt;= 100000, "Premium")</f>
        <v>Premium</v>
      </c>
      <c r="J9" t="s">
        <v>13</v>
      </c>
      <c r="K9" s="1">
        <v>45448</v>
      </c>
      <c r="L9">
        <f t="shared" ca="1" si="0"/>
        <v>1</v>
      </c>
      <c r="M9" t="str" cm="1">
        <f t="array" aca="1" ref="M9" ca="1">_xlfn.IFS( L9 &lt;=2, "New", L9&lt;=6, "Engaged", L9 &gt;6, "Loyal")</f>
        <v>New</v>
      </c>
      <c r="N9">
        <f t="shared" si="1"/>
        <v>2024</v>
      </c>
    </row>
    <row r="10" spans="1:14" x14ac:dyDescent="0.25">
      <c r="A10" t="s">
        <v>39</v>
      </c>
      <c r="B10" t="s">
        <v>40</v>
      </c>
      <c r="C10" t="s">
        <v>10</v>
      </c>
      <c r="D10">
        <v>48</v>
      </c>
      <c r="E10" t="str" cm="1">
        <f t="array" ref="E10">_xlfn.IFS(D10 &lt; 26, "Gen Z", D10 &lt;= 41, "Millennials", D10 &lt;= 57, "Gen X", D10 &gt;= 58, "Boomers")</f>
        <v>Gen X</v>
      </c>
      <c r="F10" t="s">
        <v>29</v>
      </c>
      <c r="G10" t="s">
        <v>41</v>
      </c>
      <c r="H10">
        <v>65028</v>
      </c>
      <c r="I10" t="str" cm="1">
        <f t="array" ref="I10">_xlfn.IFS(H10 &lt; 30000, "Low", H10 &lt; 60000, "Medium", H10 &lt; 100000, "High", H10 &gt;= 100000, "Premium")</f>
        <v>High</v>
      </c>
      <c r="J10" t="s">
        <v>19</v>
      </c>
      <c r="K10" s="1">
        <v>43507</v>
      </c>
      <c r="L10">
        <f t="shared" ca="1" si="0"/>
        <v>7</v>
      </c>
      <c r="M10" t="str" cm="1">
        <f t="array" aca="1" ref="M10" ca="1">_xlfn.IFS( L10 &lt;=2, "New", L10&lt;=6, "Engaged", L10 &gt;6, "Loyal")</f>
        <v>Loyal</v>
      </c>
      <c r="N10">
        <f t="shared" si="1"/>
        <v>2019</v>
      </c>
    </row>
    <row r="11" spans="1:14" x14ac:dyDescent="0.25">
      <c r="A11" t="s">
        <v>42</v>
      </c>
      <c r="B11" t="s">
        <v>43</v>
      </c>
      <c r="C11" t="s">
        <v>16</v>
      </c>
      <c r="D11">
        <v>71</v>
      </c>
      <c r="E11" t="str" cm="1">
        <f t="array" ref="E11">_xlfn.IFS(D11 &lt; 26, "Gen Z", D11 &lt;= 41, "Millennials", D11 &lt;= 57, "Gen X", D11 &gt;= 58, "Boomers")</f>
        <v>Boomers</v>
      </c>
      <c r="F11" t="s">
        <v>29</v>
      </c>
      <c r="G11" t="s">
        <v>18</v>
      </c>
      <c r="H11">
        <v>188645</v>
      </c>
      <c r="I11" t="str" cm="1">
        <f t="array" ref="I11">_xlfn.IFS(H11 &lt; 30000, "Low", H11 &lt; 60000, "Medium", H11 &lt; 100000, "High", H11 &gt;= 100000, "Premium")</f>
        <v>Premium</v>
      </c>
      <c r="J11" t="s">
        <v>19</v>
      </c>
      <c r="K11" s="1">
        <v>42405</v>
      </c>
      <c r="L11">
        <f t="shared" ca="1" si="0"/>
        <v>10</v>
      </c>
      <c r="M11" t="str" cm="1">
        <f t="array" aca="1" ref="M11" ca="1">_xlfn.IFS( L11 &lt;=2, "New", L11&lt;=6, "Engaged", L11 &gt;6, "Loyal")</f>
        <v>Loyal</v>
      </c>
      <c r="N11">
        <f t="shared" si="1"/>
        <v>2016</v>
      </c>
    </row>
    <row r="12" spans="1:14" x14ac:dyDescent="0.25">
      <c r="A12" t="s">
        <v>44</v>
      </c>
      <c r="B12" t="s">
        <v>45</v>
      </c>
      <c r="C12" t="s">
        <v>10</v>
      </c>
      <c r="D12">
        <v>20</v>
      </c>
      <c r="E12" t="str" cm="1">
        <f t="array" ref="E12">_xlfn.IFS(D12 &lt; 26, "Gen Z", D12 &lt;= 41, "Millennials", D12 &lt;= 57, "Gen X", D12 &gt;= 58, "Boomers")</f>
        <v>Gen Z</v>
      </c>
      <c r="F12" t="s">
        <v>33</v>
      </c>
      <c r="G12" t="s">
        <v>12</v>
      </c>
      <c r="H12">
        <v>151878</v>
      </c>
      <c r="I12" t="str" cm="1">
        <f t="array" ref="I12">_xlfn.IFS(H12 &lt; 30000, "Low", H12 &lt; 60000, "Medium", H12 &lt; 100000, "High", H12 &gt;= 100000, "Premium")</f>
        <v>Premium</v>
      </c>
      <c r="J12" t="s">
        <v>23</v>
      </c>
      <c r="K12" s="1">
        <v>42781</v>
      </c>
      <c r="L12">
        <f t="shared" ca="1" si="0"/>
        <v>9</v>
      </c>
      <c r="M12" t="str" cm="1">
        <f t="array" aca="1" ref="M12" ca="1">_xlfn.IFS( L12 &lt;=2, "New", L12&lt;=6, "Engaged", L12 &gt;6, "Loyal")</f>
        <v>Loyal</v>
      </c>
      <c r="N12">
        <f t="shared" si="1"/>
        <v>2017</v>
      </c>
    </row>
    <row r="13" spans="1:14" x14ac:dyDescent="0.25">
      <c r="A13" t="s">
        <v>46</v>
      </c>
      <c r="B13" t="s">
        <v>47</v>
      </c>
      <c r="C13" t="s">
        <v>10</v>
      </c>
      <c r="D13">
        <v>57</v>
      </c>
      <c r="E13" t="str" cm="1">
        <f t="array" ref="E13">_xlfn.IFS(D13 &lt; 26, "Gen Z", D13 &lt;= 41, "Millennials", D13 &lt;= 57, "Gen X", D13 &gt;= 58, "Boomers")</f>
        <v>Gen X</v>
      </c>
      <c r="F13" t="s">
        <v>29</v>
      </c>
      <c r="G13" t="s">
        <v>18</v>
      </c>
      <c r="H13">
        <v>144343</v>
      </c>
      <c r="I13" t="str" cm="1">
        <f t="array" ref="I13">_xlfn.IFS(H13 &lt; 30000, "Low", H13 &lt; 60000, "Medium", H13 &lt; 100000, "High", H13 &gt;= 100000, "Premium")</f>
        <v>Premium</v>
      </c>
      <c r="J13" t="s">
        <v>19</v>
      </c>
      <c r="K13" s="1">
        <v>45280</v>
      </c>
      <c r="L13">
        <f t="shared" ca="1" si="0"/>
        <v>2</v>
      </c>
      <c r="M13" t="str" cm="1">
        <f t="array" aca="1" ref="M13" ca="1">_xlfn.IFS( L13 &lt;=2, "New", L13&lt;=6, "Engaged", L13 &gt;6, "Loyal")</f>
        <v>New</v>
      </c>
      <c r="N13">
        <f t="shared" si="1"/>
        <v>2023</v>
      </c>
    </row>
    <row r="14" spans="1:14" x14ac:dyDescent="0.25">
      <c r="A14" t="s">
        <v>48</v>
      </c>
      <c r="B14" t="s">
        <v>49</v>
      </c>
      <c r="C14" t="s">
        <v>10</v>
      </c>
      <c r="D14">
        <v>63</v>
      </c>
      <c r="E14" t="str" cm="1">
        <f t="array" ref="E14">_xlfn.IFS(D14 &lt; 26, "Gen Z", D14 &lt;= 41, "Millennials", D14 &lt;= 57, "Gen X", D14 &gt;= 58, "Boomers")</f>
        <v>Boomers</v>
      </c>
      <c r="F14" t="s">
        <v>17</v>
      </c>
      <c r="G14" t="s">
        <v>18</v>
      </c>
      <c r="H14">
        <v>148301</v>
      </c>
      <c r="I14" t="str" cm="1">
        <f t="array" ref="I14">_xlfn.IFS(H14 &lt; 30000, "Low", H14 &lt; 60000, "Medium", H14 &lt; 100000, "High", H14 &gt;= 100000, "Premium")</f>
        <v>Premium</v>
      </c>
      <c r="J14" t="s">
        <v>13</v>
      </c>
      <c r="K14" s="1">
        <v>45018</v>
      </c>
      <c r="L14">
        <f t="shared" ca="1" si="0"/>
        <v>3</v>
      </c>
      <c r="M14" t="str" cm="1">
        <f t="array" aca="1" ref="M14" ca="1">_xlfn.IFS( L14 &lt;=2, "New", L14&lt;=6, "Engaged", L14 &gt;6, "Loyal")</f>
        <v>Engaged</v>
      </c>
      <c r="N14">
        <f t="shared" si="1"/>
        <v>2023</v>
      </c>
    </row>
    <row r="15" spans="1:14" x14ac:dyDescent="0.25">
      <c r="A15" t="s">
        <v>50</v>
      </c>
      <c r="B15" t="s">
        <v>51</v>
      </c>
      <c r="C15" t="s">
        <v>10</v>
      </c>
      <c r="D15">
        <v>41</v>
      </c>
      <c r="E15" t="str" cm="1">
        <f t="array" ref="E15">_xlfn.IFS(D15 &lt; 26, "Gen Z", D15 &lt;= 41, "Millennials", D15 &lt;= 57, "Gen X", D15 &gt;= 58, "Boomers")</f>
        <v>Millennials</v>
      </c>
      <c r="F15" t="s">
        <v>29</v>
      </c>
      <c r="G15" t="s">
        <v>18</v>
      </c>
      <c r="H15">
        <v>146295</v>
      </c>
      <c r="I15" t="str" cm="1">
        <f t="array" ref="I15">_xlfn.IFS(H15 &lt; 30000, "Low", H15 &lt; 60000, "Medium", H15 &lt; 100000, "High", H15 &gt;= 100000, "Premium")</f>
        <v>Premium</v>
      </c>
      <c r="J15" t="s">
        <v>19</v>
      </c>
      <c r="K15" s="1">
        <v>42960</v>
      </c>
      <c r="L15">
        <f t="shared" ca="1" si="0"/>
        <v>8</v>
      </c>
      <c r="M15" t="str" cm="1">
        <f t="array" aca="1" ref="M15" ca="1">_xlfn.IFS( L15 &lt;=2, "New", L15&lt;=6, "Engaged", L15 &gt;6, "Loyal")</f>
        <v>Loyal</v>
      </c>
      <c r="N15">
        <f t="shared" si="1"/>
        <v>2017</v>
      </c>
    </row>
    <row r="16" spans="1:14" x14ac:dyDescent="0.25">
      <c r="A16" t="s">
        <v>52</v>
      </c>
      <c r="B16" t="s">
        <v>53</v>
      </c>
      <c r="C16" t="s">
        <v>16</v>
      </c>
      <c r="D16">
        <v>67</v>
      </c>
      <c r="E16" t="str" cm="1">
        <f t="array" ref="E16">_xlfn.IFS(D16 &lt; 26, "Gen Z", D16 &lt;= 41, "Millennials", D16 &lt;= 57, "Gen X", D16 &gt;= 58, "Boomers")</f>
        <v>Boomers</v>
      </c>
      <c r="F16" t="s">
        <v>17</v>
      </c>
      <c r="G16" t="s">
        <v>18</v>
      </c>
      <c r="H16">
        <v>180829</v>
      </c>
      <c r="I16" t="str" cm="1">
        <f t="array" ref="I16">_xlfn.IFS(H16 &lt; 30000, "Low", H16 &lt; 60000, "Medium", H16 &lt; 100000, "High", H16 &gt;= 100000, "Premium")</f>
        <v>Premium</v>
      </c>
      <c r="J16" t="s">
        <v>19</v>
      </c>
      <c r="K16" s="1">
        <v>43673</v>
      </c>
      <c r="L16">
        <f t="shared" ca="1" si="0"/>
        <v>6</v>
      </c>
      <c r="M16" t="str" cm="1">
        <f t="array" aca="1" ref="M16" ca="1">_xlfn.IFS( L16 &lt;=2, "New", L16&lt;=6, "Engaged", L16 &gt;6, "Loyal")</f>
        <v>Engaged</v>
      </c>
      <c r="N16">
        <f t="shared" si="1"/>
        <v>2019</v>
      </c>
    </row>
    <row r="17" spans="1:14" x14ac:dyDescent="0.25">
      <c r="A17" t="s">
        <v>54</v>
      </c>
      <c r="B17" t="s">
        <v>55</v>
      </c>
      <c r="C17" t="s">
        <v>10</v>
      </c>
      <c r="D17">
        <v>49</v>
      </c>
      <c r="E17" t="str" cm="1">
        <f t="array" ref="E17">_xlfn.IFS(D17 &lt; 26, "Gen Z", D17 &lt;= 41, "Millennials", D17 &lt;= 57, "Gen X", D17 &gt;= 58, "Boomers")</f>
        <v>Gen X</v>
      </c>
      <c r="F17" t="s">
        <v>33</v>
      </c>
      <c r="G17" t="s">
        <v>26</v>
      </c>
      <c r="H17">
        <v>54636</v>
      </c>
      <c r="I17" t="str" cm="1">
        <f t="array" ref="I17">_xlfn.IFS(H17 &lt; 30000, "Low", H17 &lt; 60000, "Medium", H17 &lt; 100000, "High", H17 &gt;= 100000, "Premium")</f>
        <v>Medium</v>
      </c>
      <c r="J17" t="s">
        <v>13</v>
      </c>
      <c r="K17" s="1">
        <v>43643</v>
      </c>
      <c r="L17">
        <f t="shared" ca="1" si="0"/>
        <v>6</v>
      </c>
      <c r="M17" t="str" cm="1">
        <f t="array" aca="1" ref="M17" ca="1">_xlfn.IFS( L17 &lt;=2, "New", L17&lt;=6, "Engaged", L17 &gt;6, "Loyal")</f>
        <v>Engaged</v>
      </c>
      <c r="N17">
        <f t="shared" si="1"/>
        <v>2019</v>
      </c>
    </row>
    <row r="18" spans="1:14" x14ac:dyDescent="0.25">
      <c r="A18" t="s">
        <v>56</v>
      </c>
      <c r="B18" t="s">
        <v>57</v>
      </c>
      <c r="C18" t="s">
        <v>16</v>
      </c>
      <c r="D18">
        <v>64</v>
      </c>
      <c r="E18" t="str" cm="1">
        <f t="array" ref="E18">_xlfn.IFS(D18 &lt; 26, "Gen Z", D18 &lt;= 41, "Millennials", D18 &lt;= 57, "Gen X", D18 &gt;= 58, "Boomers")</f>
        <v>Boomers</v>
      </c>
      <c r="F18" t="s">
        <v>33</v>
      </c>
      <c r="G18" t="s">
        <v>26</v>
      </c>
      <c r="H18">
        <v>199352</v>
      </c>
      <c r="I18" t="str" cm="1">
        <f t="array" ref="I18">_xlfn.IFS(H18 &lt; 30000, "Low", H18 &lt; 60000, "Medium", H18 &lt; 100000, "High", H18 &gt;= 100000, "Premium")</f>
        <v>Premium</v>
      </c>
      <c r="J18" t="s">
        <v>13</v>
      </c>
      <c r="K18" s="1">
        <v>44375</v>
      </c>
      <c r="L18">
        <f t="shared" ca="1" si="0"/>
        <v>4</v>
      </c>
      <c r="M18" t="str" cm="1">
        <f t="array" aca="1" ref="M18" ca="1">_xlfn.IFS( L18 &lt;=2, "New", L18&lt;=6, "Engaged", L18 &gt;6, "Loyal")</f>
        <v>Engaged</v>
      </c>
      <c r="N18">
        <f t="shared" si="1"/>
        <v>2021</v>
      </c>
    </row>
    <row r="19" spans="1:14" x14ac:dyDescent="0.25">
      <c r="A19" t="s">
        <v>58</v>
      </c>
      <c r="B19" t="s">
        <v>59</v>
      </c>
      <c r="C19" t="s">
        <v>16</v>
      </c>
      <c r="D19">
        <v>39</v>
      </c>
      <c r="E19" t="str" cm="1">
        <f t="array" ref="E19">_xlfn.IFS(D19 &lt; 26, "Gen Z", D19 &lt;= 41, "Millennials", D19 &lt;= 57, "Gen X", D19 &gt;= 58, "Boomers")</f>
        <v>Millennials</v>
      </c>
      <c r="F19" t="s">
        <v>33</v>
      </c>
      <c r="G19" t="s">
        <v>41</v>
      </c>
      <c r="H19">
        <v>44262</v>
      </c>
      <c r="I19" t="str" cm="1">
        <f t="array" ref="I19">_xlfn.IFS(H19 &lt; 30000, "Low", H19 &lt; 60000, "Medium", H19 &lt; 100000, "High", H19 &gt;= 100000, "Premium")</f>
        <v>Medium</v>
      </c>
      <c r="J19" t="s">
        <v>23</v>
      </c>
      <c r="K19" s="1">
        <v>45728</v>
      </c>
      <c r="L19">
        <f t="shared" ca="1" si="0"/>
        <v>1</v>
      </c>
      <c r="M19" t="str" cm="1">
        <f t="array" aca="1" ref="M19" ca="1">_xlfn.IFS( L19 &lt;=2, "New", L19&lt;=6, "Engaged", L19 &gt;6, "Loyal")</f>
        <v>New</v>
      </c>
      <c r="N19">
        <f t="shared" si="1"/>
        <v>2025</v>
      </c>
    </row>
    <row r="20" spans="1:14" x14ac:dyDescent="0.25">
      <c r="A20" t="s">
        <v>60</v>
      </c>
      <c r="B20" t="s">
        <v>61</v>
      </c>
      <c r="C20" t="s">
        <v>16</v>
      </c>
      <c r="D20">
        <v>40</v>
      </c>
      <c r="E20" t="str" cm="1">
        <f t="array" ref="E20">_xlfn.IFS(D20 &lt; 26, "Gen Z", D20 &lt;= 41, "Millennials", D20 &lt;= 57, "Gen X", D20 &gt;= 58, "Boomers")</f>
        <v>Millennials</v>
      </c>
      <c r="F20" t="s">
        <v>33</v>
      </c>
      <c r="G20" t="s">
        <v>22</v>
      </c>
      <c r="H20">
        <v>100435</v>
      </c>
      <c r="I20" t="str" cm="1">
        <f t="array" ref="I20">_xlfn.IFS(H20 &lt; 30000, "Low", H20 &lt; 60000, "Medium", H20 &lt; 100000, "High", H20 &gt;= 100000, "Premium")</f>
        <v>Premium</v>
      </c>
      <c r="J20" t="s">
        <v>19</v>
      </c>
      <c r="K20" s="1">
        <v>44456</v>
      </c>
      <c r="L20">
        <f t="shared" ca="1" si="0"/>
        <v>4</v>
      </c>
      <c r="M20" t="str" cm="1">
        <f t="array" aca="1" ref="M20" ca="1">_xlfn.IFS( L20 &lt;=2, "New", L20&lt;=6, "Engaged", L20 &gt;6, "Loyal")</f>
        <v>Engaged</v>
      </c>
      <c r="N20">
        <f t="shared" si="1"/>
        <v>2021</v>
      </c>
    </row>
    <row r="21" spans="1:14" x14ac:dyDescent="0.25">
      <c r="A21" t="s">
        <v>62</v>
      </c>
      <c r="B21" t="s">
        <v>63</v>
      </c>
      <c r="C21" t="s">
        <v>10</v>
      </c>
      <c r="D21">
        <v>19</v>
      </c>
      <c r="E21" t="str" cm="1">
        <f t="array" ref="E21">_xlfn.IFS(D21 &lt; 26, "Gen Z", D21 &lt;= 41, "Millennials", D21 &lt;= 57, "Gen X", D21 &gt;= 58, "Boomers")</f>
        <v>Gen Z</v>
      </c>
      <c r="F21" t="s">
        <v>33</v>
      </c>
      <c r="G21" t="s">
        <v>36</v>
      </c>
      <c r="H21">
        <v>148583</v>
      </c>
      <c r="I21" t="str" cm="1">
        <f t="array" ref="I21">_xlfn.IFS(H21 &lt; 30000, "Low", H21 &lt; 60000, "Medium", H21 &lt; 100000, "High", H21 &gt;= 100000, "Premium")</f>
        <v>Premium</v>
      </c>
      <c r="J21" t="s">
        <v>19</v>
      </c>
      <c r="K21" s="1">
        <v>45058</v>
      </c>
      <c r="L21">
        <f t="shared" ca="1" si="0"/>
        <v>2</v>
      </c>
      <c r="M21" t="str" cm="1">
        <f t="array" aca="1" ref="M21" ca="1">_xlfn.IFS( L21 &lt;=2, "New", L21&lt;=6, "Engaged", L21 &gt;6, "Loyal")</f>
        <v>New</v>
      </c>
      <c r="N21">
        <f t="shared" si="1"/>
        <v>2023</v>
      </c>
    </row>
    <row r="22" spans="1:14" x14ac:dyDescent="0.25">
      <c r="A22" t="s">
        <v>64</v>
      </c>
      <c r="B22" t="s">
        <v>65</v>
      </c>
      <c r="C22" t="s">
        <v>16</v>
      </c>
      <c r="D22">
        <v>44</v>
      </c>
      <c r="E22" t="str" cm="1">
        <f t="array" ref="E22">_xlfn.IFS(D22 &lt; 26, "Gen Z", D22 &lt;= 41, "Millennials", D22 &lt;= 57, "Gen X", D22 &gt;= 58, "Boomers")</f>
        <v>Gen X</v>
      </c>
      <c r="F22" t="s">
        <v>17</v>
      </c>
      <c r="G22" t="s">
        <v>18</v>
      </c>
      <c r="H22">
        <v>189269</v>
      </c>
      <c r="I22" t="str" cm="1">
        <f t="array" ref="I22">_xlfn.IFS(H22 &lt; 30000, "Low", H22 &lt; 60000, "Medium", H22 &lt; 100000, "High", H22 &gt;= 100000, "Premium")</f>
        <v>Premium</v>
      </c>
      <c r="J22" t="s">
        <v>13</v>
      </c>
      <c r="K22" s="1">
        <v>45414</v>
      </c>
      <c r="L22">
        <f t="shared" ca="1" si="0"/>
        <v>1</v>
      </c>
      <c r="M22" t="str" cm="1">
        <f t="array" aca="1" ref="M22" ca="1">_xlfn.IFS( L22 &lt;=2, "New", L22&lt;=6, "Engaged", L22 &gt;6, "Loyal")</f>
        <v>New</v>
      </c>
      <c r="N22">
        <f t="shared" si="1"/>
        <v>2024</v>
      </c>
    </row>
    <row r="23" spans="1:14" x14ac:dyDescent="0.25">
      <c r="A23" t="s">
        <v>66</v>
      </c>
      <c r="B23" t="s">
        <v>67</v>
      </c>
      <c r="C23" t="s">
        <v>10</v>
      </c>
      <c r="D23">
        <v>59</v>
      </c>
      <c r="E23" t="str" cm="1">
        <f t="array" ref="E23">_xlfn.IFS(D23 &lt; 26, "Gen Z", D23 &lt;= 41, "Millennials", D23 &lt;= 57, "Gen X", D23 &gt;= 58, "Boomers")</f>
        <v>Boomers</v>
      </c>
      <c r="F23" t="s">
        <v>17</v>
      </c>
      <c r="G23" t="s">
        <v>41</v>
      </c>
      <c r="H23">
        <v>61844</v>
      </c>
      <c r="I23" t="str" cm="1">
        <f t="array" ref="I23">_xlfn.IFS(H23 &lt; 30000, "Low", H23 &lt; 60000, "Medium", H23 &lt; 100000, "High", H23 &gt;= 100000, "Premium")</f>
        <v>High</v>
      </c>
      <c r="J23" t="s">
        <v>19</v>
      </c>
      <c r="K23" s="1">
        <v>45118</v>
      </c>
      <c r="L23">
        <f t="shared" ca="1" si="0"/>
        <v>2</v>
      </c>
      <c r="M23" t="str" cm="1">
        <f t="array" aca="1" ref="M23" ca="1">_xlfn.IFS( L23 &lt;=2, "New", L23&lt;=6, "Engaged", L23 &gt;6, "Loyal")</f>
        <v>New</v>
      </c>
      <c r="N23">
        <f t="shared" si="1"/>
        <v>2023</v>
      </c>
    </row>
    <row r="24" spans="1:14" x14ac:dyDescent="0.25">
      <c r="A24" t="s">
        <v>68</v>
      </c>
      <c r="B24" t="s">
        <v>69</v>
      </c>
      <c r="C24" t="s">
        <v>16</v>
      </c>
      <c r="D24">
        <v>19</v>
      </c>
      <c r="E24" t="str" cm="1">
        <f t="array" ref="E24">_xlfn.IFS(D24 &lt; 26, "Gen Z", D24 &lt;= 41, "Millennials", D24 &lt;= 57, "Gen X", D24 &gt;= 58, "Boomers")</f>
        <v>Gen Z</v>
      </c>
      <c r="F24" t="s">
        <v>33</v>
      </c>
      <c r="G24" t="s">
        <v>22</v>
      </c>
      <c r="H24">
        <v>84754</v>
      </c>
      <c r="I24" t="str" cm="1">
        <f t="array" ref="I24">_xlfn.IFS(H24 &lt; 30000, "Low", H24 &lt; 60000, "Medium", H24 &lt; 100000, "High", H24 &gt;= 100000, "Premium")</f>
        <v>High</v>
      </c>
      <c r="J24" t="s">
        <v>13</v>
      </c>
      <c r="K24" s="1">
        <v>44745</v>
      </c>
      <c r="L24">
        <f t="shared" ca="1" si="0"/>
        <v>3</v>
      </c>
      <c r="M24" t="str" cm="1">
        <f t="array" aca="1" ref="M24" ca="1">_xlfn.IFS( L24 &lt;=2, "New", L24&lt;=6, "Engaged", L24 &gt;6, "Loyal")</f>
        <v>Engaged</v>
      </c>
      <c r="N24">
        <f t="shared" si="1"/>
        <v>2022</v>
      </c>
    </row>
    <row r="25" spans="1:14" x14ac:dyDescent="0.25">
      <c r="A25" t="s">
        <v>70</v>
      </c>
      <c r="B25" t="s">
        <v>71</v>
      </c>
      <c r="C25" t="s">
        <v>16</v>
      </c>
      <c r="D25">
        <v>43</v>
      </c>
      <c r="E25" t="str" cm="1">
        <f t="array" ref="E25">_xlfn.IFS(D25 &lt; 26, "Gen Z", D25 &lt;= 41, "Millennials", D25 &lt;= 57, "Gen X", D25 &gt;= 58, "Boomers")</f>
        <v>Gen X</v>
      </c>
      <c r="F25" t="s">
        <v>29</v>
      </c>
      <c r="G25" t="s">
        <v>36</v>
      </c>
      <c r="H25">
        <v>185229</v>
      </c>
      <c r="I25" t="str" cm="1">
        <f t="array" ref="I25">_xlfn.IFS(H25 &lt; 30000, "Low", H25 &lt; 60000, "Medium", H25 &lt; 100000, "High", H25 &gt;= 100000, "Premium")</f>
        <v>Premium</v>
      </c>
      <c r="J25" t="s">
        <v>19</v>
      </c>
      <c r="K25" s="1">
        <v>42765</v>
      </c>
      <c r="L25">
        <f t="shared" ca="1" si="0"/>
        <v>9</v>
      </c>
      <c r="M25" t="str" cm="1">
        <f t="array" aca="1" ref="M25" ca="1">_xlfn.IFS( L25 &lt;=2, "New", L25&lt;=6, "Engaged", L25 &gt;6, "Loyal")</f>
        <v>Loyal</v>
      </c>
      <c r="N25">
        <f t="shared" si="1"/>
        <v>2017</v>
      </c>
    </row>
    <row r="26" spans="1:14" x14ac:dyDescent="0.25">
      <c r="A26" t="s">
        <v>72</v>
      </c>
      <c r="B26" t="s">
        <v>73</v>
      </c>
      <c r="C26" t="s">
        <v>16</v>
      </c>
      <c r="D26">
        <v>34</v>
      </c>
      <c r="E26" t="str" cm="1">
        <f t="array" ref="E26">_xlfn.IFS(D26 &lt; 26, "Gen Z", D26 &lt;= 41, "Millennials", D26 &lt;= 57, "Gen X", D26 &gt;= 58, "Boomers")</f>
        <v>Millennials</v>
      </c>
      <c r="F26" t="s">
        <v>11</v>
      </c>
      <c r="G26" t="s">
        <v>30</v>
      </c>
      <c r="H26">
        <v>97129</v>
      </c>
      <c r="I26" t="str" cm="1">
        <f t="array" ref="I26">_xlfn.IFS(H26 &lt; 30000, "Low", H26 &lt; 60000, "Medium", H26 &lt; 100000, "High", H26 &gt;= 100000, "Premium")</f>
        <v>High</v>
      </c>
      <c r="J26" t="s">
        <v>13</v>
      </c>
      <c r="K26" s="1">
        <v>43718</v>
      </c>
      <c r="L26">
        <f t="shared" ca="1" si="0"/>
        <v>6</v>
      </c>
      <c r="M26" t="str" cm="1">
        <f t="array" aca="1" ref="M26" ca="1">_xlfn.IFS( L26 &lt;=2, "New", L26&lt;=6, "Engaged", L26 &gt;6, "Loyal")</f>
        <v>Engaged</v>
      </c>
      <c r="N26">
        <f t="shared" si="1"/>
        <v>2019</v>
      </c>
    </row>
    <row r="27" spans="1:14" x14ac:dyDescent="0.25">
      <c r="A27" t="s">
        <v>74</v>
      </c>
      <c r="B27" t="s">
        <v>75</v>
      </c>
      <c r="C27" t="s">
        <v>16</v>
      </c>
      <c r="D27">
        <v>57</v>
      </c>
      <c r="E27" t="str" cm="1">
        <f t="array" ref="E27">_xlfn.IFS(D27 &lt; 26, "Gen Z", D27 &lt;= 41, "Millennials", D27 &lt;= 57, "Gen X", D27 &gt;= 58, "Boomers")</f>
        <v>Gen X</v>
      </c>
      <c r="F27" t="s">
        <v>33</v>
      </c>
      <c r="G27" t="s">
        <v>12</v>
      </c>
      <c r="H27">
        <v>60042</v>
      </c>
      <c r="I27" t="str" cm="1">
        <f t="array" ref="I27">_xlfn.IFS(H27 &lt; 30000, "Low", H27 &lt; 60000, "Medium", H27 &lt; 100000, "High", H27 &gt;= 100000, "Premium")</f>
        <v>High</v>
      </c>
      <c r="J27" t="s">
        <v>19</v>
      </c>
      <c r="K27" s="1">
        <v>44469</v>
      </c>
      <c r="L27">
        <f t="shared" ca="1" si="0"/>
        <v>4</v>
      </c>
      <c r="M27" t="str" cm="1">
        <f t="array" aca="1" ref="M27" ca="1">_xlfn.IFS( L27 &lt;=2, "New", L27&lt;=6, "Engaged", L27 &gt;6, "Loyal")</f>
        <v>Engaged</v>
      </c>
      <c r="N27">
        <f t="shared" si="1"/>
        <v>2021</v>
      </c>
    </row>
    <row r="28" spans="1:14" x14ac:dyDescent="0.25">
      <c r="A28" t="s">
        <v>76</v>
      </c>
      <c r="B28" t="s">
        <v>77</v>
      </c>
      <c r="C28" t="s">
        <v>16</v>
      </c>
      <c r="D28">
        <v>50</v>
      </c>
      <c r="E28" t="str" cm="1">
        <f t="array" ref="E28">_xlfn.IFS(D28 &lt; 26, "Gen Z", D28 &lt;= 41, "Millennials", D28 &lt;= 57, "Gen X", D28 &gt;= 58, "Boomers")</f>
        <v>Gen X</v>
      </c>
      <c r="F28" t="s">
        <v>29</v>
      </c>
      <c r="G28" t="s">
        <v>26</v>
      </c>
      <c r="H28">
        <v>81665</v>
      </c>
      <c r="I28" t="str" cm="1">
        <f t="array" ref="I28">_xlfn.IFS(H28 &lt; 30000, "Low", H28 &lt; 60000, "Medium", H28 &lt; 100000, "High", H28 &gt;= 100000, "Premium")</f>
        <v>High</v>
      </c>
      <c r="J28" t="s">
        <v>23</v>
      </c>
      <c r="K28" s="1">
        <v>42607</v>
      </c>
      <c r="L28">
        <f t="shared" ca="1" si="0"/>
        <v>9</v>
      </c>
      <c r="M28" t="str" cm="1">
        <f t="array" aca="1" ref="M28" ca="1">_xlfn.IFS( L28 &lt;=2, "New", L28&lt;=6, "Engaged", L28 &gt;6, "Loyal")</f>
        <v>Loyal</v>
      </c>
      <c r="N28">
        <f t="shared" si="1"/>
        <v>2016</v>
      </c>
    </row>
    <row r="29" spans="1:14" x14ac:dyDescent="0.25">
      <c r="A29" t="s">
        <v>78</v>
      </c>
      <c r="B29" t="s">
        <v>79</v>
      </c>
      <c r="C29" t="s">
        <v>16</v>
      </c>
      <c r="D29">
        <v>26</v>
      </c>
      <c r="E29" t="str" cm="1">
        <f t="array" ref="E29">_xlfn.IFS(D29 &lt; 26, "Gen Z", D29 &lt;= 41, "Millennials", D29 &lt;= 57, "Gen X", D29 &gt;= 58, "Boomers")</f>
        <v>Millennials</v>
      </c>
      <c r="F29" t="s">
        <v>11</v>
      </c>
      <c r="G29" t="s">
        <v>30</v>
      </c>
      <c r="H29">
        <v>136953</v>
      </c>
      <c r="I29" t="str" cm="1">
        <f t="array" ref="I29">_xlfn.IFS(H29 &lt; 30000, "Low", H29 &lt; 60000, "Medium", H29 &lt; 100000, "High", H29 &gt;= 100000, "Premium")</f>
        <v>Premium</v>
      </c>
      <c r="J29" t="s">
        <v>13</v>
      </c>
      <c r="K29" s="1">
        <v>43698</v>
      </c>
      <c r="L29">
        <f t="shared" ca="1" si="0"/>
        <v>6</v>
      </c>
      <c r="M29" t="str" cm="1">
        <f t="array" aca="1" ref="M29" ca="1">_xlfn.IFS( L29 &lt;=2, "New", L29&lt;=6, "Engaged", L29 &gt;6, "Loyal")</f>
        <v>Engaged</v>
      </c>
      <c r="N29">
        <f t="shared" si="1"/>
        <v>2019</v>
      </c>
    </row>
    <row r="30" spans="1:14" x14ac:dyDescent="0.25">
      <c r="A30" t="s">
        <v>80</v>
      </c>
      <c r="B30" t="s">
        <v>81</v>
      </c>
      <c r="C30" t="s">
        <v>16</v>
      </c>
      <c r="D30">
        <v>60</v>
      </c>
      <c r="E30" t="str" cm="1">
        <f t="array" ref="E30">_xlfn.IFS(D30 &lt; 26, "Gen Z", D30 &lt;= 41, "Millennials", D30 &lt;= 57, "Gen X", D30 &gt;= 58, "Boomers")</f>
        <v>Boomers</v>
      </c>
      <c r="F30" t="s">
        <v>33</v>
      </c>
      <c r="G30" t="s">
        <v>36</v>
      </c>
      <c r="H30">
        <v>178448</v>
      </c>
      <c r="I30" t="str" cm="1">
        <f t="array" ref="I30">_xlfn.IFS(H30 &lt; 30000, "Low", H30 &lt; 60000, "Medium", H30 &lt; 100000, "High", H30 &gt;= 100000, "Premium")</f>
        <v>Premium</v>
      </c>
      <c r="J30" t="s">
        <v>23</v>
      </c>
      <c r="K30" s="1">
        <v>44834</v>
      </c>
      <c r="L30">
        <f t="shared" ca="1" si="0"/>
        <v>3</v>
      </c>
      <c r="M30" t="str" cm="1">
        <f t="array" aca="1" ref="M30" ca="1">_xlfn.IFS( L30 &lt;=2, "New", L30&lt;=6, "Engaged", L30 &gt;6, "Loyal")</f>
        <v>Engaged</v>
      </c>
      <c r="N30">
        <f t="shared" si="1"/>
        <v>2022</v>
      </c>
    </row>
    <row r="31" spans="1:14" x14ac:dyDescent="0.25">
      <c r="A31" t="s">
        <v>82</v>
      </c>
      <c r="B31" t="s">
        <v>83</v>
      </c>
      <c r="C31" t="s">
        <v>16</v>
      </c>
      <c r="D31">
        <v>71</v>
      </c>
      <c r="E31" t="str" cm="1">
        <f t="array" ref="E31">_xlfn.IFS(D31 &lt; 26, "Gen Z", D31 &lt;= 41, "Millennials", D31 &lt;= 57, "Gen X", D31 &gt;= 58, "Boomers")</f>
        <v>Boomers</v>
      </c>
      <c r="F31" t="s">
        <v>33</v>
      </c>
      <c r="G31" t="s">
        <v>30</v>
      </c>
      <c r="H31">
        <v>165271</v>
      </c>
      <c r="I31" t="str" cm="1">
        <f t="array" ref="I31">_xlfn.IFS(H31 &lt; 30000, "Low", H31 &lt; 60000, "Medium", H31 &lt; 100000, "High", H31 &gt;= 100000, "Premium")</f>
        <v>Premium</v>
      </c>
      <c r="J31" t="s">
        <v>13</v>
      </c>
      <c r="K31" s="1">
        <v>44109</v>
      </c>
      <c r="L31">
        <f t="shared" ca="1" si="0"/>
        <v>5</v>
      </c>
      <c r="M31" t="str" cm="1">
        <f t="array" aca="1" ref="M31" ca="1">_xlfn.IFS( L31 &lt;=2, "New", L31&lt;=6, "Engaged", L31 &gt;6, "Loyal")</f>
        <v>Engaged</v>
      </c>
      <c r="N31">
        <f t="shared" si="1"/>
        <v>2020</v>
      </c>
    </row>
    <row r="32" spans="1:14" x14ac:dyDescent="0.25">
      <c r="A32" t="s">
        <v>84</v>
      </c>
      <c r="B32" t="s">
        <v>85</v>
      </c>
      <c r="C32" t="s">
        <v>10</v>
      </c>
      <c r="D32">
        <v>65</v>
      </c>
      <c r="E32" t="str" cm="1">
        <f t="array" ref="E32">_xlfn.IFS(D32 &lt; 26, "Gen Z", D32 &lt;= 41, "Millennials", D32 &lt;= 57, "Gen X", D32 &gt;= 58, "Boomers")</f>
        <v>Boomers</v>
      </c>
      <c r="F32" t="s">
        <v>17</v>
      </c>
      <c r="G32" t="s">
        <v>12</v>
      </c>
      <c r="H32">
        <v>138533</v>
      </c>
      <c r="I32" t="str" cm="1">
        <f t="array" ref="I32">_xlfn.IFS(H32 &lt; 30000, "Low", H32 &lt; 60000, "Medium", H32 &lt; 100000, "High", H32 &gt;= 100000, "Premium")</f>
        <v>Premium</v>
      </c>
      <c r="J32" t="s">
        <v>19</v>
      </c>
      <c r="K32" s="1">
        <v>42742</v>
      </c>
      <c r="L32">
        <f t="shared" ca="1" si="0"/>
        <v>9</v>
      </c>
      <c r="M32" t="str" cm="1">
        <f t="array" aca="1" ref="M32" ca="1">_xlfn.IFS( L32 &lt;=2, "New", L32&lt;=6, "Engaged", L32 &gt;6, "Loyal")</f>
        <v>Loyal</v>
      </c>
      <c r="N32">
        <f t="shared" si="1"/>
        <v>2017</v>
      </c>
    </row>
    <row r="33" spans="1:14" x14ac:dyDescent="0.25">
      <c r="A33" t="s">
        <v>86</v>
      </c>
      <c r="B33" t="s">
        <v>87</v>
      </c>
      <c r="C33" t="s">
        <v>10</v>
      </c>
      <c r="D33">
        <v>56</v>
      </c>
      <c r="E33" t="str" cm="1">
        <f t="array" ref="E33">_xlfn.IFS(D33 &lt; 26, "Gen Z", D33 &lt;= 41, "Millennials", D33 &lt;= 57, "Gen X", D33 &gt;= 58, "Boomers")</f>
        <v>Gen X</v>
      </c>
      <c r="F33" t="s">
        <v>11</v>
      </c>
      <c r="G33" t="s">
        <v>41</v>
      </c>
      <c r="H33">
        <v>93781</v>
      </c>
      <c r="I33" t="str" cm="1">
        <f t="array" ref="I33">_xlfn.IFS(H33 &lt; 30000, "Low", H33 &lt; 60000, "Medium", H33 &lt; 100000, "High", H33 &gt;= 100000, "Premium")</f>
        <v>High</v>
      </c>
      <c r="J33" t="s">
        <v>19</v>
      </c>
      <c r="K33" s="1">
        <v>42565</v>
      </c>
      <c r="L33">
        <f t="shared" ca="1" si="0"/>
        <v>9</v>
      </c>
      <c r="M33" t="str" cm="1">
        <f t="array" aca="1" ref="M33" ca="1">_xlfn.IFS( L33 &lt;=2, "New", L33&lt;=6, "Engaged", L33 &gt;6, "Loyal")</f>
        <v>Loyal</v>
      </c>
      <c r="N33">
        <f t="shared" si="1"/>
        <v>2016</v>
      </c>
    </row>
    <row r="34" spans="1:14" x14ac:dyDescent="0.25">
      <c r="A34" t="s">
        <v>88</v>
      </c>
      <c r="B34" t="s">
        <v>89</v>
      </c>
      <c r="C34" t="s">
        <v>16</v>
      </c>
      <c r="D34">
        <v>46</v>
      </c>
      <c r="E34" t="str" cm="1">
        <f t="array" ref="E34">_xlfn.IFS(D34 &lt; 26, "Gen Z", D34 &lt;= 41, "Millennials", D34 &lt;= 57, "Gen X", D34 &gt;= 58, "Boomers")</f>
        <v>Gen X</v>
      </c>
      <c r="F34" t="s">
        <v>11</v>
      </c>
      <c r="G34" t="s">
        <v>36</v>
      </c>
      <c r="H34">
        <v>86262</v>
      </c>
      <c r="I34" t="str" cm="1">
        <f t="array" ref="I34">_xlfn.IFS(H34 &lt; 30000, "Low", H34 &lt; 60000, "Medium", H34 &lt; 100000, "High", H34 &gt;= 100000, "Premium")</f>
        <v>High</v>
      </c>
      <c r="J34" t="s">
        <v>13</v>
      </c>
      <c r="K34" s="1">
        <v>43698</v>
      </c>
      <c r="L34">
        <f t="shared" ca="1" si="0"/>
        <v>6</v>
      </c>
      <c r="M34" t="str" cm="1">
        <f t="array" aca="1" ref="M34" ca="1">_xlfn.IFS( L34 &lt;=2, "New", L34&lt;=6, "Engaged", L34 &gt;6, "Loyal")</f>
        <v>Engaged</v>
      </c>
      <c r="N34">
        <f t="shared" si="1"/>
        <v>2019</v>
      </c>
    </row>
    <row r="35" spans="1:14" x14ac:dyDescent="0.25">
      <c r="A35" t="s">
        <v>90</v>
      </c>
      <c r="B35" t="s">
        <v>91</v>
      </c>
      <c r="C35" t="s">
        <v>16</v>
      </c>
      <c r="D35">
        <v>59</v>
      </c>
      <c r="E35" t="str" cm="1">
        <f t="array" ref="E35">_xlfn.IFS(D35 &lt; 26, "Gen Z", D35 &lt;= 41, "Millennials", D35 &lt;= 57, "Gen X", D35 &gt;= 58, "Boomers")</f>
        <v>Boomers</v>
      </c>
      <c r="F35" t="s">
        <v>29</v>
      </c>
      <c r="G35" t="s">
        <v>30</v>
      </c>
      <c r="H35">
        <v>66600</v>
      </c>
      <c r="I35" t="str" cm="1">
        <f t="array" ref="I35">_xlfn.IFS(H35 &lt; 30000, "Low", H35 &lt; 60000, "Medium", H35 &lt; 100000, "High", H35 &gt;= 100000, "Premium")</f>
        <v>High</v>
      </c>
      <c r="J35" t="s">
        <v>19</v>
      </c>
      <c r="K35" s="1">
        <v>44513</v>
      </c>
      <c r="L35">
        <f t="shared" ca="1" si="0"/>
        <v>4</v>
      </c>
      <c r="M35" t="str" cm="1">
        <f t="array" aca="1" ref="M35" ca="1">_xlfn.IFS( L35 &lt;=2, "New", L35&lt;=6, "Engaged", L35 &gt;6, "Loyal")</f>
        <v>Engaged</v>
      </c>
      <c r="N35">
        <f t="shared" si="1"/>
        <v>2021</v>
      </c>
    </row>
    <row r="36" spans="1:14" x14ac:dyDescent="0.25">
      <c r="A36" t="s">
        <v>92</v>
      </c>
      <c r="B36" t="s">
        <v>93</v>
      </c>
      <c r="C36" t="s">
        <v>16</v>
      </c>
      <c r="D36">
        <v>72</v>
      </c>
      <c r="E36" t="str" cm="1">
        <f t="array" ref="E36">_xlfn.IFS(D36 &lt; 26, "Gen Z", D36 &lt;= 41, "Millennials", D36 &lt;= 57, "Gen X", D36 &gt;= 58, "Boomers")</f>
        <v>Boomers</v>
      </c>
      <c r="F36" t="s">
        <v>17</v>
      </c>
      <c r="G36" t="s">
        <v>26</v>
      </c>
      <c r="H36">
        <v>96898</v>
      </c>
      <c r="I36" t="str" cm="1">
        <f t="array" ref="I36">_xlfn.IFS(H36 &lt; 30000, "Low", H36 &lt; 60000, "Medium", H36 &lt; 100000, "High", H36 &gt;= 100000, "Premium")</f>
        <v>High</v>
      </c>
      <c r="J36" t="s">
        <v>19</v>
      </c>
      <c r="K36" s="1">
        <v>42533</v>
      </c>
      <c r="L36">
        <f t="shared" ca="1" si="0"/>
        <v>9</v>
      </c>
      <c r="M36" t="str" cm="1">
        <f t="array" aca="1" ref="M36" ca="1">_xlfn.IFS( L36 &lt;=2, "New", L36&lt;=6, "Engaged", L36 &gt;6, "Loyal")</f>
        <v>Loyal</v>
      </c>
      <c r="N36">
        <f t="shared" si="1"/>
        <v>2016</v>
      </c>
    </row>
    <row r="37" spans="1:14" x14ac:dyDescent="0.25">
      <c r="A37" t="s">
        <v>94</v>
      </c>
      <c r="B37" t="s">
        <v>95</v>
      </c>
      <c r="C37" t="s">
        <v>10</v>
      </c>
      <c r="D37">
        <v>43</v>
      </c>
      <c r="E37" t="str" cm="1">
        <f t="array" ref="E37">_xlfn.IFS(D37 &lt; 26, "Gen Z", D37 &lt;= 41, "Millennials", D37 &lt;= 57, "Gen X", D37 &gt;= 58, "Boomers")</f>
        <v>Gen X</v>
      </c>
      <c r="F37" t="s">
        <v>17</v>
      </c>
      <c r="G37" t="s">
        <v>26</v>
      </c>
      <c r="H37">
        <v>169369</v>
      </c>
      <c r="I37" t="str" cm="1">
        <f t="array" ref="I37">_xlfn.IFS(H37 &lt; 30000, "Low", H37 &lt; 60000, "Medium", H37 &lt; 100000, "High", H37 &gt;= 100000, "Premium")</f>
        <v>Premium</v>
      </c>
      <c r="J37" t="s">
        <v>13</v>
      </c>
      <c r="K37" s="1">
        <v>42902</v>
      </c>
      <c r="L37">
        <f t="shared" ca="1" si="0"/>
        <v>8</v>
      </c>
      <c r="M37" t="str" cm="1">
        <f t="array" aca="1" ref="M37" ca="1">_xlfn.IFS( L37 &lt;=2, "New", L37&lt;=6, "Engaged", L37 &gt;6, "Loyal")</f>
        <v>Loyal</v>
      </c>
      <c r="N37">
        <f t="shared" si="1"/>
        <v>2017</v>
      </c>
    </row>
    <row r="38" spans="1:14" x14ac:dyDescent="0.25">
      <c r="A38" t="s">
        <v>96</v>
      </c>
      <c r="B38" t="s">
        <v>97</v>
      </c>
      <c r="C38" t="s">
        <v>16</v>
      </c>
      <c r="D38">
        <v>52</v>
      </c>
      <c r="E38" t="str" cm="1">
        <f t="array" ref="E38">_xlfn.IFS(D38 &lt; 26, "Gen Z", D38 &lt;= 41, "Millennials", D38 &lt;= 57, "Gen X", D38 &gt;= 58, "Boomers")</f>
        <v>Gen X</v>
      </c>
      <c r="F38" t="s">
        <v>17</v>
      </c>
      <c r="G38" t="s">
        <v>22</v>
      </c>
      <c r="H38">
        <v>50448</v>
      </c>
      <c r="I38" t="str" cm="1">
        <f t="array" ref="I38">_xlfn.IFS(H38 &lt; 30000, "Low", H38 &lt; 60000, "Medium", H38 &lt; 100000, "High", H38 &gt;= 100000, "Premium")</f>
        <v>Medium</v>
      </c>
      <c r="J38" t="s">
        <v>13</v>
      </c>
      <c r="K38" s="1">
        <v>42922</v>
      </c>
      <c r="L38">
        <f t="shared" ca="1" si="0"/>
        <v>8</v>
      </c>
      <c r="M38" t="str" cm="1">
        <f t="array" aca="1" ref="M38" ca="1">_xlfn.IFS( L38 &lt;=2, "New", L38&lt;=6, "Engaged", L38 &gt;6, "Loyal")</f>
        <v>Loyal</v>
      </c>
      <c r="N38">
        <f t="shared" si="1"/>
        <v>2017</v>
      </c>
    </row>
    <row r="39" spans="1:14" x14ac:dyDescent="0.25">
      <c r="A39" t="s">
        <v>98</v>
      </c>
      <c r="B39" t="s">
        <v>99</v>
      </c>
      <c r="C39" t="s">
        <v>10</v>
      </c>
      <c r="D39">
        <v>67</v>
      </c>
      <c r="E39" t="str" cm="1">
        <f t="array" ref="E39">_xlfn.IFS(D39 &lt; 26, "Gen Z", D39 &lt;= 41, "Millennials", D39 &lt;= 57, "Gen X", D39 &gt;= 58, "Boomers")</f>
        <v>Boomers</v>
      </c>
      <c r="F39" t="s">
        <v>17</v>
      </c>
      <c r="G39" t="s">
        <v>30</v>
      </c>
      <c r="H39">
        <v>46172</v>
      </c>
      <c r="I39" t="str" cm="1">
        <f t="array" ref="I39">_xlfn.IFS(H39 &lt; 30000, "Low", H39 &lt; 60000, "Medium", H39 &lt; 100000, "High", H39 &gt;= 100000, "Premium")</f>
        <v>Medium</v>
      </c>
      <c r="J39" t="s">
        <v>19</v>
      </c>
      <c r="K39" s="1">
        <v>44507</v>
      </c>
      <c r="L39">
        <f t="shared" ca="1" si="0"/>
        <v>4</v>
      </c>
      <c r="M39" t="str" cm="1">
        <f t="array" aca="1" ref="M39" ca="1">_xlfn.IFS( L39 &lt;=2, "New", L39&lt;=6, "Engaged", L39 &gt;6, "Loyal")</f>
        <v>Engaged</v>
      </c>
      <c r="N39">
        <f t="shared" si="1"/>
        <v>2021</v>
      </c>
    </row>
    <row r="40" spans="1:14" x14ac:dyDescent="0.25">
      <c r="A40" t="s">
        <v>100</v>
      </c>
      <c r="B40" t="s">
        <v>101</v>
      </c>
      <c r="C40" t="s">
        <v>10</v>
      </c>
      <c r="D40">
        <v>42</v>
      </c>
      <c r="E40" t="str" cm="1">
        <f t="array" ref="E40">_xlfn.IFS(D40 &lt; 26, "Gen Z", D40 &lt;= 41, "Millennials", D40 &lt;= 57, "Gen X", D40 &gt;= 58, "Boomers")</f>
        <v>Gen X</v>
      </c>
      <c r="F40" t="s">
        <v>11</v>
      </c>
      <c r="G40" t="s">
        <v>18</v>
      </c>
      <c r="H40">
        <v>193946</v>
      </c>
      <c r="I40" t="str" cm="1">
        <f t="array" ref="I40">_xlfn.IFS(H40 &lt; 30000, "Low", H40 &lt; 60000, "Medium", H40 &lt; 100000, "High", H40 &gt;= 100000, "Premium")</f>
        <v>Premium</v>
      </c>
      <c r="J40" t="s">
        <v>19</v>
      </c>
      <c r="K40" s="1">
        <v>44074</v>
      </c>
      <c r="L40">
        <f t="shared" ca="1" si="0"/>
        <v>5</v>
      </c>
      <c r="M40" t="str" cm="1">
        <f t="array" aca="1" ref="M40" ca="1">_xlfn.IFS( L40 &lt;=2, "New", L40&lt;=6, "Engaged", L40 &gt;6, "Loyal")</f>
        <v>Engaged</v>
      </c>
      <c r="N40">
        <f t="shared" si="1"/>
        <v>2020</v>
      </c>
    </row>
    <row r="41" spans="1:14" x14ac:dyDescent="0.25">
      <c r="A41" t="s">
        <v>102</v>
      </c>
      <c r="B41" t="s">
        <v>103</v>
      </c>
      <c r="C41" t="s">
        <v>10</v>
      </c>
      <c r="D41">
        <v>41</v>
      </c>
      <c r="E41" t="str" cm="1">
        <f t="array" ref="E41">_xlfn.IFS(D41 &lt; 26, "Gen Z", D41 &lt;= 41, "Millennials", D41 &lt;= 57, "Gen X", D41 &gt;= 58, "Boomers")</f>
        <v>Millennials</v>
      </c>
      <c r="F41" t="s">
        <v>11</v>
      </c>
      <c r="G41" t="s">
        <v>30</v>
      </c>
      <c r="H41">
        <v>27657</v>
      </c>
      <c r="I41" t="str" cm="1">
        <f t="array" ref="I41">_xlfn.IFS(H41 &lt; 30000, "Low", H41 &lt; 60000, "Medium", H41 &lt; 100000, "High", H41 &gt;= 100000, "Premium")</f>
        <v>Low</v>
      </c>
      <c r="J41" t="s">
        <v>19</v>
      </c>
      <c r="K41" s="1">
        <v>42296</v>
      </c>
      <c r="L41">
        <f t="shared" ca="1" si="0"/>
        <v>10</v>
      </c>
      <c r="M41" t="str" cm="1">
        <f t="array" aca="1" ref="M41" ca="1">_xlfn.IFS( L41 &lt;=2, "New", L41&lt;=6, "Engaged", L41 &gt;6, "Loyal")</f>
        <v>Loyal</v>
      </c>
      <c r="N41">
        <f t="shared" si="1"/>
        <v>2015</v>
      </c>
    </row>
    <row r="42" spans="1:14" x14ac:dyDescent="0.25">
      <c r="A42" t="s">
        <v>104</v>
      </c>
      <c r="B42" t="s">
        <v>105</v>
      </c>
      <c r="C42" t="s">
        <v>10</v>
      </c>
      <c r="D42">
        <v>30</v>
      </c>
      <c r="E42" t="str" cm="1">
        <f t="array" ref="E42">_xlfn.IFS(D42 &lt; 26, "Gen Z", D42 &lt;= 41, "Millennials", D42 &lt;= 57, "Gen X", D42 &gt;= 58, "Boomers")</f>
        <v>Millennials</v>
      </c>
      <c r="F42" t="s">
        <v>33</v>
      </c>
      <c r="G42" t="s">
        <v>41</v>
      </c>
      <c r="H42">
        <v>176497</v>
      </c>
      <c r="I42" t="str" cm="1">
        <f t="array" ref="I42">_xlfn.IFS(H42 &lt; 30000, "Low", H42 &lt; 60000, "Medium", H42 &lt; 100000, "High", H42 &gt;= 100000, "Premium")</f>
        <v>Premium</v>
      </c>
      <c r="J42" t="s">
        <v>19</v>
      </c>
      <c r="K42" s="1">
        <v>42853</v>
      </c>
      <c r="L42">
        <f t="shared" ca="1" si="0"/>
        <v>8</v>
      </c>
      <c r="M42" t="str" cm="1">
        <f t="array" aca="1" ref="M42" ca="1">_xlfn.IFS( L42 &lt;=2, "New", L42&lt;=6, "Engaged", L42 &gt;6, "Loyal")</f>
        <v>Loyal</v>
      </c>
      <c r="N42">
        <f t="shared" si="1"/>
        <v>2017</v>
      </c>
    </row>
    <row r="43" spans="1:14" x14ac:dyDescent="0.25">
      <c r="A43" t="s">
        <v>106</v>
      </c>
      <c r="B43" t="s">
        <v>107</v>
      </c>
      <c r="C43" t="s">
        <v>10</v>
      </c>
      <c r="D43">
        <v>24</v>
      </c>
      <c r="E43" t="str" cm="1">
        <f t="array" ref="E43">_xlfn.IFS(D43 &lt; 26, "Gen Z", D43 &lt;= 41, "Millennials", D43 &lt;= 57, "Gen X", D43 &gt;= 58, "Boomers")</f>
        <v>Gen Z</v>
      </c>
      <c r="F43" t="s">
        <v>33</v>
      </c>
      <c r="G43" t="s">
        <v>36</v>
      </c>
      <c r="H43">
        <v>177757</v>
      </c>
      <c r="I43" t="str" cm="1">
        <f t="array" ref="I43">_xlfn.IFS(H43 &lt; 30000, "Low", H43 &lt; 60000, "Medium", H43 &lt; 100000, "High", H43 &gt;= 100000, "Premium")</f>
        <v>Premium</v>
      </c>
      <c r="J43" t="s">
        <v>13</v>
      </c>
      <c r="K43" s="1">
        <v>42576</v>
      </c>
      <c r="L43">
        <f t="shared" ca="1" si="0"/>
        <v>9</v>
      </c>
      <c r="M43" t="str" cm="1">
        <f t="array" aca="1" ref="M43" ca="1">_xlfn.IFS( L43 &lt;=2, "New", L43&lt;=6, "Engaged", L43 &gt;6, "Loyal")</f>
        <v>Loyal</v>
      </c>
      <c r="N43">
        <f t="shared" si="1"/>
        <v>2016</v>
      </c>
    </row>
    <row r="44" spans="1:14" x14ac:dyDescent="0.25">
      <c r="A44" t="s">
        <v>108</v>
      </c>
      <c r="B44" t="s">
        <v>109</v>
      </c>
      <c r="C44" t="s">
        <v>16</v>
      </c>
      <c r="D44">
        <v>74</v>
      </c>
      <c r="E44" t="str" cm="1">
        <f t="array" ref="E44">_xlfn.IFS(D44 &lt; 26, "Gen Z", D44 &lt;= 41, "Millennials", D44 &lt;= 57, "Gen X", D44 &gt;= 58, "Boomers")</f>
        <v>Boomers</v>
      </c>
      <c r="F44" t="s">
        <v>17</v>
      </c>
      <c r="G44" t="s">
        <v>36</v>
      </c>
      <c r="H44">
        <v>132855</v>
      </c>
      <c r="I44" t="str" cm="1">
        <f t="array" ref="I44">_xlfn.IFS(H44 &lt; 30000, "Low", H44 &lt; 60000, "Medium", H44 &lt; 100000, "High", H44 &gt;= 100000, "Premium")</f>
        <v>Premium</v>
      </c>
      <c r="J44" t="s">
        <v>19</v>
      </c>
      <c r="K44" s="1">
        <v>44752</v>
      </c>
      <c r="L44">
        <f t="shared" ca="1" si="0"/>
        <v>3</v>
      </c>
      <c r="M44" t="str" cm="1">
        <f t="array" aca="1" ref="M44" ca="1">_xlfn.IFS( L44 &lt;=2, "New", L44&lt;=6, "Engaged", L44 &gt;6, "Loyal")</f>
        <v>Engaged</v>
      </c>
      <c r="N44">
        <f t="shared" si="1"/>
        <v>2022</v>
      </c>
    </row>
    <row r="45" spans="1:14" x14ac:dyDescent="0.25">
      <c r="A45" t="s">
        <v>110</v>
      </c>
      <c r="B45" t="s">
        <v>111</v>
      </c>
      <c r="C45" t="s">
        <v>16</v>
      </c>
      <c r="D45">
        <v>53</v>
      </c>
      <c r="E45" t="str" cm="1">
        <f t="array" ref="E45">_xlfn.IFS(D45 &lt; 26, "Gen Z", D45 &lt;= 41, "Millennials", D45 &lt;= 57, "Gen X", D45 &gt;= 58, "Boomers")</f>
        <v>Gen X</v>
      </c>
      <c r="F45" t="s">
        <v>17</v>
      </c>
      <c r="G45" t="s">
        <v>41</v>
      </c>
      <c r="H45">
        <v>175650</v>
      </c>
      <c r="I45" t="str" cm="1">
        <f t="array" ref="I45">_xlfn.IFS(H45 &lt; 30000, "Low", H45 &lt; 60000, "Medium", H45 &lt; 100000, "High", H45 &gt;= 100000, "Premium")</f>
        <v>Premium</v>
      </c>
      <c r="J45" t="s">
        <v>13</v>
      </c>
      <c r="K45" s="1">
        <v>44427</v>
      </c>
      <c r="L45">
        <f t="shared" ca="1" si="0"/>
        <v>4</v>
      </c>
      <c r="M45" t="str" cm="1">
        <f t="array" aca="1" ref="M45" ca="1">_xlfn.IFS( L45 &lt;=2, "New", L45&lt;=6, "Engaged", L45 &gt;6, "Loyal")</f>
        <v>Engaged</v>
      </c>
      <c r="N45">
        <f t="shared" si="1"/>
        <v>2021</v>
      </c>
    </row>
    <row r="46" spans="1:14" x14ac:dyDescent="0.25">
      <c r="A46" t="s">
        <v>112</v>
      </c>
      <c r="B46" t="s">
        <v>113</v>
      </c>
      <c r="C46" t="s">
        <v>16</v>
      </c>
      <c r="D46">
        <v>62</v>
      </c>
      <c r="E46" t="str" cm="1">
        <f t="array" ref="E46">_xlfn.IFS(D46 &lt; 26, "Gen Z", D46 &lt;= 41, "Millennials", D46 &lt;= 57, "Gen X", D46 &gt;= 58, "Boomers")</f>
        <v>Boomers</v>
      </c>
      <c r="F46" t="s">
        <v>17</v>
      </c>
      <c r="G46" t="s">
        <v>30</v>
      </c>
      <c r="H46">
        <v>179903</v>
      </c>
      <c r="I46" t="str" cm="1">
        <f t="array" ref="I46">_xlfn.IFS(H46 &lt; 30000, "Low", H46 &lt; 60000, "Medium", H46 &lt; 100000, "High", H46 &gt;= 100000, "Premium")</f>
        <v>Premium</v>
      </c>
      <c r="J46" t="s">
        <v>13</v>
      </c>
      <c r="K46" s="1">
        <v>43636</v>
      </c>
      <c r="L46">
        <f t="shared" ca="1" si="0"/>
        <v>6</v>
      </c>
      <c r="M46" t="str" cm="1">
        <f t="array" aca="1" ref="M46" ca="1">_xlfn.IFS( L46 &lt;=2, "New", L46&lt;=6, "Engaged", L46 &gt;6, "Loyal")</f>
        <v>Engaged</v>
      </c>
      <c r="N46">
        <f t="shared" si="1"/>
        <v>2019</v>
      </c>
    </row>
    <row r="47" spans="1:14" x14ac:dyDescent="0.25">
      <c r="A47" t="s">
        <v>114</v>
      </c>
      <c r="B47" t="s">
        <v>115</v>
      </c>
      <c r="C47" t="s">
        <v>16</v>
      </c>
      <c r="D47">
        <v>37</v>
      </c>
      <c r="E47" t="str" cm="1">
        <f t="array" ref="E47">_xlfn.IFS(D47 &lt; 26, "Gen Z", D47 &lt;= 41, "Millennials", D47 &lt;= 57, "Gen X", D47 &gt;= 58, "Boomers")</f>
        <v>Millennials</v>
      </c>
      <c r="F47" t="s">
        <v>33</v>
      </c>
      <c r="G47" t="s">
        <v>41</v>
      </c>
      <c r="H47">
        <v>27906</v>
      </c>
      <c r="I47" t="str" cm="1">
        <f t="array" ref="I47">_xlfn.IFS(H47 &lt; 30000, "Low", H47 &lt; 60000, "Medium", H47 &lt; 100000, "High", H47 &gt;= 100000, "Premium")</f>
        <v>Low</v>
      </c>
      <c r="J47" t="s">
        <v>13</v>
      </c>
      <c r="K47" s="1">
        <v>44323</v>
      </c>
      <c r="L47">
        <f t="shared" ca="1" si="0"/>
        <v>4</v>
      </c>
      <c r="M47" t="str" cm="1">
        <f t="array" aca="1" ref="M47" ca="1">_xlfn.IFS( L47 &lt;=2, "New", L47&lt;=6, "Engaged", L47 &gt;6, "Loyal")</f>
        <v>Engaged</v>
      </c>
      <c r="N47">
        <f t="shared" si="1"/>
        <v>2021</v>
      </c>
    </row>
    <row r="48" spans="1:14" x14ac:dyDescent="0.25">
      <c r="A48" t="s">
        <v>116</v>
      </c>
      <c r="B48" t="s">
        <v>117</v>
      </c>
      <c r="C48" t="s">
        <v>16</v>
      </c>
      <c r="D48">
        <v>18</v>
      </c>
      <c r="E48" t="str" cm="1">
        <f t="array" ref="E48">_xlfn.IFS(D48 &lt; 26, "Gen Z", D48 &lt;= 41, "Millennials", D48 &lt;= 57, "Gen X", D48 &gt;= 58, "Boomers")</f>
        <v>Gen Z</v>
      </c>
      <c r="F48" t="s">
        <v>29</v>
      </c>
      <c r="G48" t="s">
        <v>12</v>
      </c>
      <c r="H48">
        <v>81413</v>
      </c>
      <c r="I48" t="str" cm="1">
        <f t="array" ref="I48">_xlfn.IFS(H48 &lt; 30000, "Low", H48 &lt; 60000, "Medium", H48 &lt; 100000, "High", H48 &gt;= 100000, "Premium")</f>
        <v>High</v>
      </c>
      <c r="J48" t="s">
        <v>13</v>
      </c>
      <c r="K48" s="1">
        <v>42831</v>
      </c>
      <c r="L48">
        <f t="shared" ca="1" si="0"/>
        <v>9</v>
      </c>
      <c r="M48" t="str" cm="1">
        <f t="array" aca="1" ref="M48" ca="1">_xlfn.IFS( L48 &lt;=2, "New", L48&lt;=6, "Engaged", L48 &gt;6, "Loyal")</f>
        <v>Loyal</v>
      </c>
      <c r="N48">
        <f t="shared" si="1"/>
        <v>2017</v>
      </c>
    </row>
    <row r="49" spans="1:14" x14ac:dyDescent="0.25">
      <c r="A49" t="s">
        <v>118</v>
      </c>
      <c r="B49" t="s">
        <v>119</v>
      </c>
      <c r="C49" t="s">
        <v>10</v>
      </c>
      <c r="D49">
        <v>25</v>
      </c>
      <c r="E49" t="str" cm="1">
        <f t="array" ref="E49">_xlfn.IFS(D49 &lt; 26, "Gen Z", D49 &lt;= 41, "Millennials", D49 &lt;= 57, "Gen X", D49 &gt;= 58, "Boomers")</f>
        <v>Gen Z</v>
      </c>
      <c r="F49" t="s">
        <v>29</v>
      </c>
      <c r="G49" t="s">
        <v>41</v>
      </c>
      <c r="H49">
        <v>74028</v>
      </c>
      <c r="I49" t="str" cm="1">
        <f t="array" ref="I49">_xlfn.IFS(H49 &lt; 30000, "Low", H49 &lt; 60000, "Medium", H49 &lt; 100000, "High", H49 &gt;= 100000, "Premium")</f>
        <v>High</v>
      </c>
      <c r="J49" t="s">
        <v>13</v>
      </c>
      <c r="K49" s="1">
        <v>45478</v>
      </c>
      <c r="L49">
        <f t="shared" ca="1" si="0"/>
        <v>1</v>
      </c>
      <c r="M49" t="str" cm="1">
        <f t="array" aca="1" ref="M49" ca="1">_xlfn.IFS( L49 &lt;=2, "New", L49&lt;=6, "Engaged", L49 &gt;6, "Loyal")</f>
        <v>New</v>
      </c>
      <c r="N49">
        <f t="shared" si="1"/>
        <v>2024</v>
      </c>
    </row>
    <row r="50" spans="1:14" x14ac:dyDescent="0.25">
      <c r="A50" t="s">
        <v>120</v>
      </c>
      <c r="B50" t="s">
        <v>121</v>
      </c>
      <c r="C50" t="s">
        <v>16</v>
      </c>
      <c r="D50">
        <v>63</v>
      </c>
      <c r="E50" t="str" cm="1">
        <f t="array" ref="E50">_xlfn.IFS(D50 &lt; 26, "Gen Z", D50 &lt;= 41, "Millennials", D50 &lt;= 57, "Gen X", D50 &gt;= 58, "Boomers")</f>
        <v>Boomers</v>
      </c>
      <c r="F50" t="s">
        <v>33</v>
      </c>
      <c r="G50" t="s">
        <v>26</v>
      </c>
      <c r="H50">
        <v>27287</v>
      </c>
      <c r="I50" t="str" cm="1">
        <f t="array" ref="I50">_xlfn.IFS(H50 &lt; 30000, "Low", H50 &lt; 60000, "Medium", H50 &lt; 100000, "High", H50 &gt;= 100000, "Premium")</f>
        <v>Low</v>
      </c>
      <c r="J50" t="s">
        <v>13</v>
      </c>
      <c r="K50" s="1">
        <v>42750</v>
      </c>
      <c r="L50">
        <f t="shared" ca="1" si="0"/>
        <v>9</v>
      </c>
      <c r="M50" t="str" cm="1">
        <f t="array" aca="1" ref="M50" ca="1">_xlfn.IFS( L50 &lt;=2, "New", L50&lt;=6, "Engaged", L50 &gt;6, "Loyal")</f>
        <v>Loyal</v>
      </c>
      <c r="N50">
        <f t="shared" si="1"/>
        <v>2017</v>
      </c>
    </row>
    <row r="51" spans="1:14" x14ac:dyDescent="0.25">
      <c r="A51" t="s">
        <v>122</v>
      </c>
      <c r="B51" t="s">
        <v>123</v>
      </c>
      <c r="C51" t="s">
        <v>16</v>
      </c>
      <c r="D51">
        <v>33</v>
      </c>
      <c r="E51" t="str" cm="1">
        <f t="array" ref="E51">_xlfn.IFS(D51 &lt; 26, "Gen Z", D51 &lt;= 41, "Millennials", D51 &lt;= 57, "Gen X", D51 &gt;= 58, "Boomers")</f>
        <v>Millennials</v>
      </c>
      <c r="F51" t="s">
        <v>33</v>
      </c>
      <c r="G51" t="s">
        <v>41</v>
      </c>
      <c r="H51">
        <v>53660</v>
      </c>
      <c r="I51" t="str" cm="1">
        <f t="array" ref="I51">_xlfn.IFS(H51 &lt; 30000, "Low", H51 &lt; 60000, "Medium", H51 &lt; 100000, "High", H51 &gt;= 100000, "Premium")</f>
        <v>Medium</v>
      </c>
      <c r="J51" t="s">
        <v>19</v>
      </c>
      <c r="K51" s="1">
        <v>44992</v>
      </c>
      <c r="L51">
        <f t="shared" ca="1" si="0"/>
        <v>3</v>
      </c>
      <c r="M51" t="str" cm="1">
        <f t="array" aca="1" ref="M51" ca="1">_xlfn.IFS( L51 &lt;=2, "New", L51&lt;=6, "Engaged", L51 &gt;6, "Loyal")</f>
        <v>Engaged</v>
      </c>
      <c r="N51">
        <f t="shared" si="1"/>
        <v>2023</v>
      </c>
    </row>
    <row r="52" spans="1:14" x14ac:dyDescent="0.25">
      <c r="A52" t="s">
        <v>124</v>
      </c>
      <c r="B52" t="s">
        <v>125</v>
      </c>
      <c r="C52" t="s">
        <v>10</v>
      </c>
      <c r="D52">
        <v>31</v>
      </c>
      <c r="E52" t="str" cm="1">
        <f t="array" ref="E52">_xlfn.IFS(D52 &lt; 26, "Gen Z", D52 &lt;= 41, "Millennials", D52 &lt;= 57, "Gen X", D52 &gt;= 58, "Boomers")</f>
        <v>Millennials</v>
      </c>
      <c r="F52" t="s">
        <v>33</v>
      </c>
      <c r="G52" t="s">
        <v>36</v>
      </c>
      <c r="H52">
        <v>80504</v>
      </c>
      <c r="I52" t="str" cm="1">
        <f t="array" ref="I52">_xlfn.IFS(H52 &lt; 30000, "Low", H52 &lt; 60000, "Medium", H52 &lt; 100000, "High", H52 &gt;= 100000, "Premium")</f>
        <v>High</v>
      </c>
      <c r="J52" t="s">
        <v>13</v>
      </c>
      <c r="K52" s="1">
        <v>42622</v>
      </c>
      <c r="L52">
        <f t="shared" ca="1" si="0"/>
        <v>9</v>
      </c>
      <c r="M52" t="str" cm="1">
        <f t="array" aca="1" ref="M52" ca="1">_xlfn.IFS( L52 &lt;=2, "New", L52&lt;=6, "Engaged", L52 &gt;6, "Loyal")</f>
        <v>Loyal</v>
      </c>
      <c r="N52">
        <f t="shared" si="1"/>
        <v>2016</v>
      </c>
    </row>
    <row r="53" spans="1:14" x14ac:dyDescent="0.25">
      <c r="A53" t="s">
        <v>126</v>
      </c>
      <c r="B53" t="s">
        <v>127</v>
      </c>
      <c r="C53" t="s">
        <v>16</v>
      </c>
      <c r="D53">
        <v>29</v>
      </c>
      <c r="E53" t="str" cm="1">
        <f t="array" ref="E53">_xlfn.IFS(D53 &lt; 26, "Gen Z", D53 &lt;= 41, "Millennials", D53 &lt;= 57, "Gen X", D53 &gt;= 58, "Boomers")</f>
        <v>Millennials</v>
      </c>
      <c r="F53" t="s">
        <v>33</v>
      </c>
      <c r="G53" t="s">
        <v>26</v>
      </c>
      <c r="H53">
        <v>122979</v>
      </c>
      <c r="I53" t="str" cm="1">
        <f t="array" ref="I53">_xlfn.IFS(H53 &lt; 30000, "Low", H53 &lt; 60000, "Medium", H53 &lt; 100000, "High", H53 &gt;= 100000, "Premium")</f>
        <v>Premium</v>
      </c>
      <c r="J53" t="s">
        <v>13</v>
      </c>
      <c r="K53" s="1">
        <v>45072</v>
      </c>
      <c r="L53">
        <f t="shared" ca="1" si="0"/>
        <v>2</v>
      </c>
      <c r="M53" t="str" cm="1">
        <f t="array" aca="1" ref="M53" ca="1">_xlfn.IFS( L53 &lt;=2, "New", L53&lt;=6, "Engaged", L53 &gt;6, "Loyal")</f>
        <v>New</v>
      </c>
      <c r="N53">
        <f t="shared" si="1"/>
        <v>2023</v>
      </c>
    </row>
    <row r="54" spans="1:14" x14ac:dyDescent="0.25">
      <c r="A54" t="s">
        <v>128</v>
      </c>
      <c r="B54" t="s">
        <v>129</v>
      </c>
      <c r="C54" t="s">
        <v>10</v>
      </c>
      <c r="D54">
        <v>68</v>
      </c>
      <c r="E54" t="str" cm="1">
        <f t="array" ref="E54">_xlfn.IFS(D54 &lt; 26, "Gen Z", D54 &lt;= 41, "Millennials", D54 &lt;= 57, "Gen X", D54 &gt;= 58, "Boomers")</f>
        <v>Boomers</v>
      </c>
      <c r="F54" t="s">
        <v>33</v>
      </c>
      <c r="G54" t="s">
        <v>36</v>
      </c>
      <c r="H54">
        <v>54701</v>
      </c>
      <c r="I54" t="str" cm="1">
        <f t="array" ref="I54">_xlfn.IFS(H54 &lt; 30000, "Low", H54 &lt; 60000, "Medium", H54 &lt; 100000, "High", H54 &gt;= 100000, "Premium")</f>
        <v>Medium</v>
      </c>
      <c r="J54" t="s">
        <v>13</v>
      </c>
      <c r="K54" s="1">
        <v>44740</v>
      </c>
      <c r="L54">
        <f t="shared" ca="1" si="0"/>
        <v>3</v>
      </c>
      <c r="M54" t="str" cm="1">
        <f t="array" aca="1" ref="M54" ca="1">_xlfn.IFS( L54 &lt;=2, "New", L54&lt;=6, "Engaged", L54 &gt;6, "Loyal")</f>
        <v>Engaged</v>
      </c>
      <c r="N54">
        <f t="shared" si="1"/>
        <v>2022</v>
      </c>
    </row>
    <row r="55" spans="1:14" x14ac:dyDescent="0.25">
      <c r="A55" t="s">
        <v>130</v>
      </c>
      <c r="B55" t="s">
        <v>131</v>
      </c>
      <c r="C55" t="s">
        <v>16</v>
      </c>
      <c r="D55">
        <v>40</v>
      </c>
      <c r="E55" t="str" cm="1">
        <f t="array" ref="E55">_xlfn.IFS(D55 &lt; 26, "Gen Z", D55 &lt;= 41, "Millennials", D55 &lt;= 57, "Gen X", D55 &gt;= 58, "Boomers")</f>
        <v>Millennials</v>
      </c>
      <c r="F55" t="s">
        <v>33</v>
      </c>
      <c r="G55" t="s">
        <v>22</v>
      </c>
      <c r="H55">
        <v>103300</v>
      </c>
      <c r="I55" t="str" cm="1">
        <f t="array" ref="I55">_xlfn.IFS(H55 &lt; 30000, "Low", H55 &lt; 60000, "Medium", H55 &lt; 100000, "High", H55 &gt;= 100000, "Premium")</f>
        <v>Premium</v>
      </c>
      <c r="J55" t="s">
        <v>13</v>
      </c>
      <c r="K55" s="1">
        <v>44107</v>
      </c>
      <c r="L55">
        <f t="shared" ca="1" si="0"/>
        <v>5</v>
      </c>
      <c r="M55" t="str" cm="1">
        <f t="array" aca="1" ref="M55" ca="1">_xlfn.IFS( L55 &lt;=2, "New", L55&lt;=6, "Engaged", L55 &gt;6, "Loyal")</f>
        <v>Engaged</v>
      </c>
      <c r="N55">
        <f t="shared" si="1"/>
        <v>2020</v>
      </c>
    </row>
    <row r="56" spans="1:14" x14ac:dyDescent="0.25">
      <c r="A56" t="s">
        <v>132</v>
      </c>
      <c r="B56" t="s">
        <v>133</v>
      </c>
      <c r="C56" t="s">
        <v>10</v>
      </c>
      <c r="D56">
        <v>32</v>
      </c>
      <c r="E56" t="str" cm="1">
        <f t="array" ref="E56">_xlfn.IFS(D56 &lt; 26, "Gen Z", D56 &lt;= 41, "Millennials", D56 &lt;= 57, "Gen X", D56 &gt;= 58, "Boomers")</f>
        <v>Millennials</v>
      </c>
      <c r="F56" t="s">
        <v>17</v>
      </c>
      <c r="G56" t="s">
        <v>18</v>
      </c>
      <c r="H56">
        <v>168746</v>
      </c>
      <c r="I56" t="str" cm="1">
        <f t="array" ref="I56">_xlfn.IFS(H56 &lt; 30000, "Low", H56 &lt; 60000, "Medium", H56 &lt; 100000, "High", H56 &gt;= 100000, "Premium")</f>
        <v>Premium</v>
      </c>
      <c r="J56" t="s">
        <v>13</v>
      </c>
      <c r="K56" s="1">
        <v>44916</v>
      </c>
      <c r="L56">
        <f t="shared" ca="1" si="0"/>
        <v>3</v>
      </c>
      <c r="M56" t="str" cm="1">
        <f t="array" aca="1" ref="M56" ca="1">_xlfn.IFS( L56 &lt;=2, "New", L56&lt;=6, "Engaged", L56 &gt;6, "Loyal")</f>
        <v>Engaged</v>
      </c>
      <c r="N56">
        <f t="shared" si="1"/>
        <v>2022</v>
      </c>
    </row>
    <row r="57" spans="1:14" x14ac:dyDescent="0.25">
      <c r="A57" t="s">
        <v>134</v>
      </c>
      <c r="B57" t="s">
        <v>135</v>
      </c>
      <c r="C57" t="s">
        <v>16</v>
      </c>
      <c r="D57">
        <v>45</v>
      </c>
      <c r="E57" t="str" cm="1">
        <f t="array" ref="E57">_xlfn.IFS(D57 &lt; 26, "Gen Z", D57 &lt;= 41, "Millennials", D57 &lt;= 57, "Gen X", D57 &gt;= 58, "Boomers")</f>
        <v>Gen X</v>
      </c>
      <c r="F57" t="s">
        <v>17</v>
      </c>
      <c r="G57" t="s">
        <v>36</v>
      </c>
      <c r="H57">
        <v>103560</v>
      </c>
      <c r="I57" t="str" cm="1">
        <f t="array" ref="I57">_xlfn.IFS(H57 &lt; 30000, "Low", H57 &lt; 60000, "Medium", H57 &lt; 100000, "High", H57 &gt;= 100000, "Premium")</f>
        <v>Premium</v>
      </c>
      <c r="J57" t="s">
        <v>13</v>
      </c>
      <c r="K57" s="1">
        <v>44711</v>
      </c>
      <c r="L57">
        <f t="shared" ca="1" si="0"/>
        <v>3</v>
      </c>
      <c r="M57" t="str" cm="1">
        <f t="array" aca="1" ref="M57" ca="1">_xlfn.IFS( L57 &lt;=2, "New", L57&lt;=6, "Engaged", L57 &gt;6, "Loyal")</f>
        <v>Engaged</v>
      </c>
      <c r="N57">
        <f t="shared" si="1"/>
        <v>2022</v>
      </c>
    </row>
    <row r="58" spans="1:14" x14ac:dyDescent="0.25">
      <c r="A58" t="s">
        <v>136</v>
      </c>
      <c r="B58" t="s">
        <v>137</v>
      </c>
      <c r="C58" t="s">
        <v>16</v>
      </c>
      <c r="D58">
        <v>51</v>
      </c>
      <c r="E58" t="str" cm="1">
        <f t="array" ref="E58">_xlfn.IFS(D58 &lt; 26, "Gen Z", D58 &lt;= 41, "Millennials", D58 &lt;= 57, "Gen X", D58 &gt;= 58, "Boomers")</f>
        <v>Gen X</v>
      </c>
      <c r="F58" t="s">
        <v>17</v>
      </c>
      <c r="G58" t="s">
        <v>26</v>
      </c>
      <c r="H58">
        <v>174946</v>
      </c>
      <c r="I58" t="str" cm="1">
        <f t="array" ref="I58">_xlfn.IFS(H58 &lt; 30000, "Low", H58 &lt; 60000, "Medium", H58 &lt; 100000, "High", H58 &gt;= 100000, "Premium")</f>
        <v>Premium</v>
      </c>
      <c r="J58" t="s">
        <v>19</v>
      </c>
      <c r="K58" s="1">
        <v>43671</v>
      </c>
      <c r="L58">
        <f t="shared" ca="1" si="0"/>
        <v>6</v>
      </c>
      <c r="M58" t="str" cm="1">
        <f t="array" aca="1" ref="M58" ca="1">_xlfn.IFS( L58 &lt;=2, "New", L58&lt;=6, "Engaged", L58 &gt;6, "Loyal")</f>
        <v>Engaged</v>
      </c>
      <c r="N58">
        <f t="shared" si="1"/>
        <v>2019</v>
      </c>
    </row>
    <row r="59" spans="1:14" x14ac:dyDescent="0.25">
      <c r="A59" t="s">
        <v>138</v>
      </c>
      <c r="B59" t="s">
        <v>139</v>
      </c>
      <c r="C59" t="s">
        <v>10</v>
      </c>
      <c r="D59">
        <v>19</v>
      </c>
      <c r="E59" t="str" cm="1">
        <f t="array" ref="E59">_xlfn.IFS(D59 &lt; 26, "Gen Z", D59 &lt;= 41, "Millennials", D59 &lt;= 57, "Gen X", D59 &gt;= 58, "Boomers")</f>
        <v>Gen Z</v>
      </c>
      <c r="F59" t="s">
        <v>17</v>
      </c>
      <c r="G59" t="s">
        <v>22</v>
      </c>
      <c r="H59">
        <v>63642</v>
      </c>
      <c r="I59" t="str" cm="1">
        <f t="array" ref="I59">_xlfn.IFS(H59 &lt; 30000, "Low", H59 &lt; 60000, "Medium", H59 &lt; 100000, "High", H59 &gt;= 100000, "Premium")</f>
        <v>High</v>
      </c>
      <c r="J59" t="s">
        <v>19</v>
      </c>
      <c r="K59" s="1">
        <v>43622</v>
      </c>
      <c r="L59">
        <f t="shared" ca="1" si="0"/>
        <v>6</v>
      </c>
      <c r="M59" t="str" cm="1">
        <f t="array" aca="1" ref="M59" ca="1">_xlfn.IFS( L59 &lt;=2, "New", L59&lt;=6, "Engaged", L59 &gt;6, "Loyal")</f>
        <v>Engaged</v>
      </c>
      <c r="N59">
        <f t="shared" si="1"/>
        <v>2019</v>
      </c>
    </row>
    <row r="60" spans="1:14" x14ac:dyDescent="0.25">
      <c r="A60" t="s">
        <v>140</v>
      </c>
      <c r="B60" t="s">
        <v>141</v>
      </c>
      <c r="C60" t="s">
        <v>10</v>
      </c>
      <c r="D60">
        <v>49</v>
      </c>
      <c r="E60" t="str" cm="1">
        <f t="array" ref="E60">_xlfn.IFS(D60 &lt; 26, "Gen Z", D60 &lt;= 41, "Millennials", D60 &lt;= 57, "Gen X", D60 &gt;= 58, "Boomers")</f>
        <v>Gen X</v>
      </c>
      <c r="F60" t="s">
        <v>33</v>
      </c>
      <c r="G60" t="s">
        <v>36</v>
      </c>
      <c r="H60">
        <v>85160</v>
      </c>
      <c r="I60" t="str" cm="1">
        <f t="array" ref="I60">_xlfn.IFS(H60 &lt; 30000, "Low", H60 &lt; 60000, "Medium", H60 &lt; 100000, "High", H60 &gt;= 100000, "Premium")</f>
        <v>High</v>
      </c>
      <c r="J60" t="s">
        <v>19</v>
      </c>
      <c r="K60" s="1">
        <v>45360</v>
      </c>
      <c r="L60">
        <f t="shared" ca="1" si="0"/>
        <v>2</v>
      </c>
      <c r="M60" t="str" cm="1">
        <f t="array" aca="1" ref="M60" ca="1">_xlfn.IFS( L60 &lt;=2, "New", L60&lt;=6, "Engaged", L60 &gt;6, "Loyal")</f>
        <v>New</v>
      </c>
      <c r="N60">
        <f t="shared" si="1"/>
        <v>2024</v>
      </c>
    </row>
    <row r="61" spans="1:14" x14ac:dyDescent="0.25">
      <c r="A61" t="s">
        <v>142</v>
      </c>
      <c r="B61" t="s">
        <v>143</v>
      </c>
      <c r="C61" t="s">
        <v>10</v>
      </c>
      <c r="D61">
        <v>40</v>
      </c>
      <c r="E61" t="str" cm="1">
        <f t="array" ref="E61">_xlfn.IFS(D61 &lt; 26, "Gen Z", D61 &lt;= 41, "Millennials", D61 &lt;= 57, "Gen X", D61 &gt;= 58, "Boomers")</f>
        <v>Millennials</v>
      </c>
      <c r="F61" t="s">
        <v>29</v>
      </c>
      <c r="G61" t="s">
        <v>12</v>
      </c>
      <c r="H61">
        <v>37602</v>
      </c>
      <c r="I61" t="str" cm="1">
        <f t="array" ref="I61">_xlfn.IFS(H61 &lt; 30000, "Low", H61 &lt; 60000, "Medium", H61 &lt; 100000, "High", H61 &gt;= 100000, "Premium")</f>
        <v>Medium</v>
      </c>
      <c r="J61" t="s">
        <v>13</v>
      </c>
      <c r="K61" s="1">
        <v>43415</v>
      </c>
      <c r="L61">
        <f t="shared" ca="1" si="0"/>
        <v>7</v>
      </c>
      <c r="M61" t="str" cm="1">
        <f t="array" aca="1" ref="M61" ca="1">_xlfn.IFS( L61 &lt;=2, "New", L61&lt;=6, "Engaged", L61 &gt;6, "Loyal")</f>
        <v>Loyal</v>
      </c>
      <c r="N61">
        <f t="shared" si="1"/>
        <v>2018</v>
      </c>
    </row>
    <row r="62" spans="1:14" x14ac:dyDescent="0.25">
      <c r="A62" t="s">
        <v>144</v>
      </c>
      <c r="B62" t="s">
        <v>145</v>
      </c>
      <c r="C62" t="s">
        <v>10</v>
      </c>
      <c r="D62">
        <v>39</v>
      </c>
      <c r="E62" t="str" cm="1">
        <f t="array" ref="E62">_xlfn.IFS(D62 &lt; 26, "Gen Z", D62 &lt;= 41, "Millennials", D62 &lt;= 57, "Gen X", D62 &gt;= 58, "Boomers")</f>
        <v>Millennials</v>
      </c>
      <c r="F62" t="s">
        <v>11</v>
      </c>
      <c r="G62" t="s">
        <v>41</v>
      </c>
      <c r="H62">
        <v>123320</v>
      </c>
      <c r="I62" t="str" cm="1">
        <f t="array" ref="I62">_xlfn.IFS(H62 &lt; 30000, "Low", H62 &lt; 60000, "Medium", H62 &lt; 100000, "High", H62 &gt;= 100000, "Premium")</f>
        <v>Premium</v>
      </c>
      <c r="J62" t="s">
        <v>13</v>
      </c>
      <c r="K62" s="1">
        <v>44878</v>
      </c>
      <c r="L62">
        <f t="shared" ca="1" si="0"/>
        <v>3</v>
      </c>
      <c r="M62" t="str" cm="1">
        <f t="array" aca="1" ref="M62" ca="1">_xlfn.IFS( L62 &lt;=2, "New", L62&lt;=6, "Engaged", L62 &gt;6, "Loyal")</f>
        <v>Engaged</v>
      </c>
      <c r="N62">
        <f t="shared" si="1"/>
        <v>2022</v>
      </c>
    </row>
    <row r="63" spans="1:14" x14ac:dyDescent="0.25">
      <c r="A63" t="s">
        <v>146</v>
      </c>
      <c r="B63" t="s">
        <v>147</v>
      </c>
      <c r="C63" t="s">
        <v>10</v>
      </c>
      <c r="D63">
        <v>68</v>
      </c>
      <c r="E63" t="str" cm="1">
        <f t="array" ref="E63">_xlfn.IFS(D63 &lt; 26, "Gen Z", D63 &lt;= 41, "Millennials", D63 &lt;= 57, "Gen X", D63 &gt;= 58, "Boomers")</f>
        <v>Boomers</v>
      </c>
      <c r="F63" t="s">
        <v>33</v>
      </c>
      <c r="G63" t="s">
        <v>18</v>
      </c>
      <c r="H63">
        <v>108801</v>
      </c>
      <c r="I63" t="str" cm="1">
        <f t="array" ref="I63">_xlfn.IFS(H63 &lt; 30000, "Low", H63 &lt; 60000, "Medium", H63 &lt; 100000, "High", H63 &gt;= 100000, "Premium")</f>
        <v>Premium</v>
      </c>
      <c r="J63" t="s">
        <v>19</v>
      </c>
      <c r="K63" s="1">
        <v>45597</v>
      </c>
      <c r="L63">
        <f t="shared" ca="1" si="0"/>
        <v>1</v>
      </c>
      <c r="M63" t="str" cm="1">
        <f t="array" aca="1" ref="M63" ca="1">_xlfn.IFS( L63 &lt;=2, "New", L63&lt;=6, "Engaged", L63 &gt;6, "Loyal")</f>
        <v>New</v>
      </c>
      <c r="N63">
        <f t="shared" si="1"/>
        <v>2024</v>
      </c>
    </row>
    <row r="64" spans="1:14" x14ac:dyDescent="0.25">
      <c r="A64" t="s">
        <v>148</v>
      </c>
      <c r="B64" t="s">
        <v>149</v>
      </c>
      <c r="C64" t="s">
        <v>10</v>
      </c>
      <c r="D64">
        <v>42</v>
      </c>
      <c r="E64" t="str" cm="1">
        <f t="array" ref="E64">_xlfn.IFS(D64 &lt; 26, "Gen Z", D64 &lt;= 41, "Millennials", D64 &lt;= 57, "Gen X", D64 &gt;= 58, "Boomers")</f>
        <v>Gen X</v>
      </c>
      <c r="F64" t="s">
        <v>11</v>
      </c>
      <c r="G64" t="s">
        <v>36</v>
      </c>
      <c r="H64">
        <v>45931</v>
      </c>
      <c r="I64" t="str" cm="1">
        <f t="array" ref="I64">_xlfn.IFS(H64 &lt; 30000, "Low", H64 &lt; 60000, "Medium", H64 &lt; 100000, "High", H64 &gt;= 100000, "Premium")</f>
        <v>Medium</v>
      </c>
      <c r="J64" t="s">
        <v>13</v>
      </c>
      <c r="K64" s="1">
        <v>45042</v>
      </c>
      <c r="L64">
        <f t="shared" ca="1" si="0"/>
        <v>2</v>
      </c>
      <c r="M64" t="str" cm="1">
        <f t="array" aca="1" ref="M64" ca="1">_xlfn.IFS( L64 &lt;=2, "New", L64&lt;=6, "Engaged", L64 &gt;6, "Loyal")</f>
        <v>New</v>
      </c>
      <c r="N64">
        <f t="shared" si="1"/>
        <v>2023</v>
      </c>
    </row>
    <row r="65" spans="1:14" x14ac:dyDescent="0.25">
      <c r="A65" t="s">
        <v>150</v>
      </c>
      <c r="B65" t="s">
        <v>151</v>
      </c>
      <c r="C65" t="s">
        <v>10</v>
      </c>
      <c r="D65">
        <v>39</v>
      </c>
      <c r="E65" t="str" cm="1">
        <f t="array" ref="E65">_xlfn.IFS(D65 &lt; 26, "Gen Z", D65 &lt;= 41, "Millennials", D65 &lt;= 57, "Gen X", D65 &gt;= 58, "Boomers")</f>
        <v>Millennials</v>
      </c>
      <c r="F65" t="s">
        <v>29</v>
      </c>
      <c r="G65" t="s">
        <v>22</v>
      </c>
      <c r="H65">
        <v>114377</v>
      </c>
      <c r="I65" t="str" cm="1">
        <f t="array" ref="I65">_xlfn.IFS(H65 &lt; 30000, "Low", H65 &lt; 60000, "Medium", H65 &lt; 100000, "High", H65 &gt;= 100000, "Premium")</f>
        <v>Premium</v>
      </c>
      <c r="J65" t="s">
        <v>13</v>
      </c>
      <c r="K65" s="1">
        <v>44997</v>
      </c>
      <c r="L65">
        <f t="shared" ca="1" si="0"/>
        <v>3</v>
      </c>
      <c r="M65" t="str" cm="1">
        <f t="array" aca="1" ref="M65" ca="1">_xlfn.IFS( L65 &lt;=2, "New", L65&lt;=6, "Engaged", L65 &gt;6, "Loyal")</f>
        <v>Engaged</v>
      </c>
      <c r="N65">
        <f t="shared" si="1"/>
        <v>2023</v>
      </c>
    </row>
    <row r="66" spans="1:14" x14ac:dyDescent="0.25">
      <c r="A66" t="s">
        <v>152</v>
      </c>
      <c r="B66" t="s">
        <v>153</v>
      </c>
      <c r="C66" t="s">
        <v>10</v>
      </c>
      <c r="D66">
        <v>39</v>
      </c>
      <c r="E66" t="str" cm="1">
        <f t="array" ref="E66">_xlfn.IFS(D66 &lt; 26, "Gen Z", D66 &lt;= 41, "Millennials", D66 &lt;= 57, "Gen X", D66 &gt;= 58, "Boomers")</f>
        <v>Millennials</v>
      </c>
      <c r="F66" t="s">
        <v>17</v>
      </c>
      <c r="G66" t="s">
        <v>12</v>
      </c>
      <c r="H66">
        <v>49192</v>
      </c>
      <c r="I66" t="str" cm="1">
        <f t="array" ref="I66">_xlfn.IFS(H66 &lt; 30000, "Low", H66 &lt; 60000, "Medium", H66 &lt; 100000, "High", H66 &gt;= 100000, "Premium")</f>
        <v>Medium</v>
      </c>
      <c r="J66" t="s">
        <v>13</v>
      </c>
      <c r="K66" s="1">
        <v>44119</v>
      </c>
      <c r="L66">
        <f t="shared" ref="L66:L129" ca="1" si="2">DATEDIF(K66, TODAY(), "Y")</f>
        <v>5</v>
      </c>
      <c r="M66" t="str" cm="1">
        <f t="array" aca="1" ref="M66" ca="1">_xlfn.IFS( L66 &lt;=2, "New", L66&lt;=6, "Engaged", L66 &gt;6, "Loyal")</f>
        <v>Engaged</v>
      </c>
      <c r="N66">
        <f t="shared" ref="N66:N129" si="3">YEAR(K66)</f>
        <v>2020</v>
      </c>
    </row>
    <row r="67" spans="1:14" x14ac:dyDescent="0.25">
      <c r="A67" t="s">
        <v>154</v>
      </c>
      <c r="B67" t="s">
        <v>155</v>
      </c>
      <c r="C67" t="s">
        <v>16</v>
      </c>
      <c r="D67">
        <v>66</v>
      </c>
      <c r="E67" t="str" cm="1">
        <f t="array" ref="E67">_xlfn.IFS(D67 &lt; 26, "Gen Z", D67 &lt;= 41, "Millennials", D67 &lt;= 57, "Gen X", D67 &gt;= 58, "Boomers")</f>
        <v>Boomers</v>
      </c>
      <c r="F67" t="s">
        <v>29</v>
      </c>
      <c r="G67" t="s">
        <v>30</v>
      </c>
      <c r="H67">
        <v>66542</v>
      </c>
      <c r="I67" t="str" cm="1">
        <f t="array" ref="I67">_xlfn.IFS(H67 &lt; 30000, "Low", H67 &lt; 60000, "Medium", H67 &lt; 100000, "High", H67 &gt;= 100000, "Premium")</f>
        <v>High</v>
      </c>
      <c r="J67" t="s">
        <v>13</v>
      </c>
      <c r="K67" s="1">
        <v>43091</v>
      </c>
      <c r="L67">
        <f t="shared" ca="1" si="2"/>
        <v>8</v>
      </c>
      <c r="M67" t="str" cm="1">
        <f t="array" aca="1" ref="M67" ca="1">_xlfn.IFS( L67 &lt;=2, "New", L67&lt;=6, "Engaged", L67 &gt;6, "Loyal")</f>
        <v>Loyal</v>
      </c>
      <c r="N67">
        <f t="shared" si="3"/>
        <v>2017</v>
      </c>
    </row>
    <row r="68" spans="1:14" x14ac:dyDescent="0.25">
      <c r="A68" t="s">
        <v>156</v>
      </c>
      <c r="B68" t="s">
        <v>157</v>
      </c>
      <c r="C68" t="s">
        <v>16</v>
      </c>
      <c r="D68">
        <v>69</v>
      </c>
      <c r="E68" t="str" cm="1">
        <f t="array" ref="E68">_xlfn.IFS(D68 &lt; 26, "Gen Z", D68 &lt;= 41, "Millennials", D68 &lt;= 57, "Gen X", D68 &gt;= 58, "Boomers")</f>
        <v>Boomers</v>
      </c>
      <c r="F68" t="s">
        <v>33</v>
      </c>
      <c r="G68" t="s">
        <v>22</v>
      </c>
      <c r="H68">
        <v>147015</v>
      </c>
      <c r="I68" t="str" cm="1">
        <f t="array" ref="I68">_xlfn.IFS(H68 &lt; 30000, "Low", H68 &lt; 60000, "Medium", H68 &lt; 100000, "High", H68 &gt;= 100000, "Premium")</f>
        <v>Premium</v>
      </c>
      <c r="J68" t="s">
        <v>13</v>
      </c>
      <c r="K68" s="1">
        <v>44996</v>
      </c>
      <c r="L68">
        <f t="shared" ca="1" si="2"/>
        <v>3</v>
      </c>
      <c r="M68" t="str" cm="1">
        <f t="array" aca="1" ref="M68" ca="1">_xlfn.IFS( L68 &lt;=2, "New", L68&lt;=6, "Engaged", L68 &gt;6, "Loyal")</f>
        <v>Engaged</v>
      </c>
      <c r="N68">
        <f t="shared" si="3"/>
        <v>2023</v>
      </c>
    </row>
    <row r="69" spans="1:14" x14ac:dyDescent="0.25">
      <c r="A69" t="s">
        <v>158</v>
      </c>
      <c r="B69" t="s">
        <v>159</v>
      </c>
      <c r="C69" t="s">
        <v>10</v>
      </c>
      <c r="D69">
        <v>59</v>
      </c>
      <c r="E69" t="str" cm="1">
        <f t="array" ref="E69">_xlfn.IFS(D69 &lt; 26, "Gen Z", D69 &lt;= 41, "Millennials", D69 &lt;= 57, "Gen X", D69 &gt;= 58, "Boomers")</f>
        <v>Boomers</v>
      </c>
      <c r="F69" t="s">
        <v>17</v>
      </c>
      <c r="G69" t="s">
        <v>41</v>
      </c>
      <c r="H69">
        <v>62520</v>
      </c>
      <c r="I69" t="str" cm="1">
        <f t="array" ref="I69">_xlfn.IFS(H69 &lt; 30000, "Low", H69 &lt; 60000, "Medium", H69 &lt; 100000, "High", H69 &gt;= 100000, "Premium")</f>
        <v>High</v>
      </c>
      <c r="J69" t="s">
        <v>13</v>
      </c>
      <c r="K69" s="1">
        <v>43069</v>
      </c>
      <c r="L69">
        <f t="shared" ca="1" si="2"/>
        <v>8</v>
      </c>
      <c r="M69" t="str" cm="1">
        <f t="array" aca="1" ref="M69" ca="1">_xlfn.IFS( L69 &lt;=2, "New", L69&lt;=6, "Engaged", L69 &gt;6, "Loyal")</f>
        <v>Loyal</v>
      </c>
      <c r="N69">
        <f t="shared" si="3"/>
        <v>2017</v>
      </c>
    </row>
    <row r="70" spans="1:14" x14ac:dyDescent="0.25">
      <c r="A70" t="s">
        <v>160</v>
      </c>
      <c r="B70" t="s">
        <v>161</v>
      </c>
      <c r="C70" t="s">
        <v>16</v>
      </c>
      <c r="D70">
        <v>23</v>
      </c>
      <c r="E70" t="str" cm="1">
        <f t="array" ref="E70">_xlfn.IFS(D70 &lt; 26, "Gen Z", D70 &lt;= 41, "Millennials", D70 &lt;= 57, "Gen X", D70 &gt;= 58, "Boomers")</f>
        <v>Gen Z</v>
      </c>
      <c r="F70" t="s">
        <v>33</v>
      </c>
      <c r="G70" t="s">
        <v>22</v>
      </c>
      <c r="H70">
        <v>84772</v>
      </c>
      <c r="I70" t="str" cm="1">
        <f t="array" ref="I70">_xlfn.IFS(H70 &lt; 30000, "Low", H70 &lt; 60000, "Medium", H70 &lt; 100000, "High", H70 &gt;= 100000, "Premium")</f>
        <v>High</v>
      </c>
      <c r="J70" t="s">
        <v>13</v>
      </c>
      <c r="K70" s="1">
        <v>43341</v>
      </c>
      <c r="L70">
        <f t="shared" ca="1" si="2"/>
        <v>7</v>
      </c>
      <c r="M70" t="str" cm="1">
        <f t="array" aca="1" ref="M70" ca="1">_xlfn.IFS( L70 &lt;=2, "New", L70&lt;=6, "Engaged", L70 &gt;6, "Loyal")</f>
        <v>Loyal</v>
      </c>
      <c r="N70">
        <f t="shared" si="3"/>
        <v>2018</v>
      </c>
    </row>
    <row r="71" spans="1:14" x14ac:dyDescent="0.25">
      <c r="A71" t="s">
        <v>162</v>
      </c>
      <c r="B71" t="s">
        <v>163</v>
      </c>
      <c r="C71" t="s">
        <v>16</v>
      </c>
      <c r="D71">
        <v>32</v>
      </c>
      <c r="E71" t="str" cm="1">
        <f t="array" ref="E71">_xlfn.IFS(D71 &lt; 26, "Gen Z", D71 &lt;= 41, "Millennials", D71 &lt;= 57, "Gen X", D71 &gt;= 58, "Boomers")</f>
        <v>Millennials</v>
      </c>
      <c r="F71" t="s">
        <v>17</v>
      </c>
      <c r="G71" t="s">
        <v>12</v>
      </c>
      <c r="H71">
        <v>70106</v>
      </c>
      <c r="I71" t="str" cm="1">
        <f t="array" ref="I71">_xlfn.IFS(H71 &lt; 30000, "Low", H71 &lt; 60000, "Medium", H71 &lt; 100000, "High", H71 &gt;= 100000, "Premium")</f>
        <v>High</v>
      </c>
      <c r="J71" t="s">
        <v>13</v>
      </c>
      <c r="K71" s="1">
        <v>45477</v>
      </c>
      <c r="L71">
        <f t="shared" ca="1" si="2"/>
        <v>1</v>
      </c>
      <c r="M71" t="str" cm="1">
        <f t="array" aca="1" ref="M71" ca="1">_xlfn.IFS( L71 &lt;=2, "New", L71&lt;=6, "Engaged", L71 &gt;6, "Loyal")</f>
        <v>New</v>
      </c>
      <c r="N71">
        <f t="shared" si="3"/>
        <v>2024</v>
      </c>
    </row>
    <row r="72" spans="1:14" x14ac:dyDescent="0.25">
      <c r="A72" t="s">
        <v>164</v>
      </c>
      <c r="B72" t="s">
        <v>165</v>
      </c>
      <c r="C72" t="s">
        <v>16</v>
      </c>
      <c r="D72">
        <v>71</v>
      </c>
      <c r="E72" t="str" cm="1">
        <f t="array" ref="E72">_xlfn.IFS(D72 &lt; 26, "Gen Z", D72 &lt;= 41, "Millennials", D72 &lt;= 57, "Gen X", D72 &gt;= 58, "Boomers")</f>
        <v>Boomers</v>
      </c>
      <c r="F72" t="s">
        <v>11</v>
      </c>
      <c r="G72" t="s">
        <v>22</v>
      </c>
      <c r="H72">
        <v>101121</v>
      </c>
      <c r="I72" t="str" cm="1">
        <f t="array" ref="I72">_xlfn.IFS(H72 &lt; 30000, "Low", H72 &lt; 60000, "Medium", H72 &lt; 100000, "High", H72 &gt;= 100000, "Premium")</f>
        <v>Premium</v>
      </c>
      <c r="J72" t="s">
        <v>19</v>
      </c>
      <c r="K72" s="1">
        <v>45815</v>
      </c>
      <c r="L72">
        <f t="shared" ca="1" si="2"/>
        <v>0</v>
      </c>
      <c r="M72" t="str" cm="1">
        <f t="array" aca="1" ref="M72" ca="1">_xlfn.IFS( L72 &lt;=2, "New", L72&lt;=6, "Engaged", L72 &gt;6, "Loyal")</f>
        <v>New</v>
      </c>
      <c r="N72">
        <f t="shared" si="3"/>
        <v>2025</v>
      </c>
    </row>
    <row r="73" spans="1:14" x14ac:dyDescent="0.25">
      <c r="A73" t="s">
        <v>166</v>
      </c>
      <c r="B73" t="s">
        <v>167</v>
      </c>
      <c r="C73" t="s">
        <v>16</v>
      </c>
      <c r="D73">
        <v>60</v>
      </c>
      <c r="E73" t="str" cm="1">
        <f t="array" ref="E73">_xlfn.IFS(D73 &lt; 26, "Gen Z", D73 &lt;= 41, "Millennials", D73 &lt;= 57, "Gen X", D73 &gt;= 58, "Boomers")</f>
        <v>Boomers</v>
      </c>
      <c r="F73" t="s">
        <v>11</v>
      </c>
      <c r="G73" t="s">
        <v>12</v>
      </c>
      <c r="H73">
        <v>45559</v>
      </c>
      <c r="I73" t="str" cm="1">
        <f t="array" ref="I73">_xlfn.IFS(H73 &lt; 30000, "Low", H73 &lt; 60000, "Medium", H73 &lt; 100000, "High", H73 &gt;= 100000, "Premium")</f>
        <v>Medium</v>
      </c>
      <c r="J73" t="s">
        <v>19</v>
      </c>
      <c r="K73" s="1">
        <v>42457</v>
      </c>
      <c r="L73">
        <f t="shared" ca="1" si="2"/>
        <v>10</v>
      </c>
      <c r="M73" t="str" cm="1">
        <f t="array" aca="1" ref="M73" ca="1">_xlfn.IFS( L73 &lt;=2, "New", L73&lt;=6, "Engaged", L73 &gt;6, "Loyal")</f>
        <v>Loyal</v>
      </c>
      <c r="N73">
        <f t="shared" si="3"/>
        <v>2016</v>
      </c>
    </row>
    <row r="74" spans="1:14" x14ac:dyDescent="0.25">
      <c r="A74" t="s">
        <v>168</v>
      </c>
      <c r="B74" t="s">
        <v>169</v>
      </c>
      <c r="C74" t="s">
        <v>10</v>
      </c>
      <c r="D74">
        <v>54</v>
      </c>
      <c r="E74" t="str" cm="1">
        <f t="array" ref="E74">_xlfn.IFS(D74 &lt; 26, "Gen Z", D74 &lt;= 41, "Millennials", D74 &lt;= 57, "Gen X", D74 &gt;= 58, "Boomers")</f>
        <v>Gen X</v>
      </c>
      <c r="F74" t="s">
        <v>11</v>
      </c>
      <c r="G74" t="s">
        <v>36</v>
      </c>
      <c r="H74">
        <v>125595</v>
      </c>
      <c r="I74" t="str" cm="1">
        <f t="array" ref="I74">_xlfn.IFS(H74 &lt; 30000, "Low", H74 &lt; 60000, "Medium", H74 &lt; 100000, "High", H74 &gt;= 100000, "Premium")</f>
        <v>Premium</v>
      </c>
      <c r="J74" t="s">
        <v>19</v>
      </c>
      <c r="K74" s="1">
        <v>43929</v>
      </c>
      <c r="L74">
        <f t="shared" ca="1" si="2"/>
        <v>6</v>
      </c>
      <c r="M74" t="str" cm="1">
        <f t="array" aca="1" ref="M74" ca="1">_xlfn.IFS( L74 &lt;=2, "New", L74&lt;=6, "Engaged", L74 &gt;6, "Loyal")</f>
        <v>Engaged</v>
      </c>
      <c r="N74">
        <f t="shared" si="3"/>
        <v>2020</v>
      </c>
    </row>
    <row r="75" spans="1:14" x14ac:dyDescent="0.25">
      <c r="A75" t="s">
        <v>170</v>
      </c>
      <c r="B75" t="s">
        <v>171</v>
      </c>
      <c r="C75" t="s">
        <v>16</v>
      </c>
      <c r="D75">
        <v>50</v>
      </c>
      <c r="E75" t="str" cm="1">
        <f t="array" ref="E75">_xlfn.IFS(D75 &lt; 26, "Gen Z", D75 &lt;= 41, "Millennials", D75 &lt;= 57, "Gen X", D75 &gt;= 58, "Boomers")</f>
        <v>Gen X</v>
      </c>
      <c r="F75" t="s">
        <v>29</v>
      </c>
      <c r="G75" t="s">
        <v>12</v>
      </c>
      <c r="H75">
        <v>53742</v>
      </c>
      <c r="I75" t="str" cm="1">
        <f t="array" ref="I75">_xlfn.IFS(H75 &lt; 30000, "Low", H75 &lt; 60000, "Medium", H75 &lt; 100000, "High", H75 &gt;= 100000, "Premium")</f>
        <v>Medium</v>
      </c>
      <c r="J75" t="s">
        <v>19</v>
      </c>
      <c r="K75" s="1">
        <v>45677</v>
      </c>
      <c r="L75">
        <f t="shared" ca="1" si="2"/>
        <v>1</v>
      </c>
      <c r="M75" t="str" cm="1">
        <f t="array" aca="1" ref="M75" ca="1">_xlfn.IFS( L75 &lt;=2, "New", L75&lt;=6, "Engaged", L75 &gt;6, "Loyal")</f>
        <v>New</v>
      </c>
      <c r="N75">
        <f t="shared" si="3"/>
        <v>2025</v>
      </c>
    </row>
    <row r="76" spans="1:14" x14ac:dyDescent="0.25">
      <c r="A76" t="s">
        <v>172</v>
      </c>
      <c r="B76" t="s">
        <v>173</v>
      </c>
      <c r="C76" t="s">
        <v>10</v>
      </c>
      <c r="D76">
        <v>25</v>
      </c>
      <c r="E76" t="str" cm="1">
        <f t="array" ref="E76">_xlfn.IFS(D76 &lt; 26, "Gen Z", D76 &lt;= 41, "Millennials", D76 &lt;= 57, "Gen X", D76 &gt;= 58, "Boomers")</f>
        <v>Gen Z</v>
      </c>
      <c r="F76" t="s">
        <v>33</v>
      </c>
      <c r="G76" t="s">
        <v>12</v>
      </c>
      <c r="H76">
        <v>89669</v>
      </c>
      <c r="I76" t="str" cm="1">
        <f t="array" ref="I76">_xlfn.IFS(H76 &lt; 30000, "Low", H76 &lt; 60000, "Medium", H76 &lt; 100000, "High", H76 &gt;= 100000, "Premium")</f>
        <v>High</v>
      </c>
      <c r="J76" t="s">
        <v>23</v>
      </c>
      <c r="K76" s="1">
        <v>43309</v>
      </c>
      <c r="L76">
        <f t="shared" ca="1" si="2"/>
        <v>7</v>
      </c>
      <c r="M76" t="str" cm="1">
        <f t="array" aca="1" ref="M76" ca="1">_xlfn.IFS( L76 &lt;=2, "New", L76&lt;=6, "Engaged", L76 &gt;6, "Loyal")</f>
        <v>Loyal</v>
      </c>
      <c r="N76">
        <f t="shared" si="3"/>
        <v>2018</v>
      </c>
    </row>
    <row r="77" spans="1:14" x14ac:dyDescent="0.25">
      <c r="A77" t="s">
        <v>174</v>
      </c>
      <c r="B77" t="s">
        <v>175</v>
      </c>
      <c r="C77" t="s">
        <v>16</v>
      </c>
      <c r="D77">
        <v>70</v>
      </c>
      <c r="E77" t="str" cm="1">
        <f t="array" ref="E77">_xlfn.IFS(D77 &lt; 26, "Gen Z", D77 &lt;= 41, "Millennials", D77 &lt;= 57, "Gen X", D77 &gt;= 58, "Boomers")</f>
        <v>Boomers</v>
      </c>
      <c r="F77" t="s">
        <v>29</v>
      </c>
      <c r="G77" t="s">
        <v>18</v>
      </c>
      <c r="H77">
        <v>172826</v>
      </c>
      <c r="I77" t="str" cm="1">
        <f t="array" ref="I77">_xlfn.IFS(H77 &lt; 30000, "Low", H77 &lt; 60000, "Medium", H77 &lt; 100000, "High", H77 &gt;= 100000, "Premium")</f>
        <v>Premium</v>
      </c>
      <c r="J77" t="s">
        <v>13</v>
      </c>
      <c r="K77" s="1">
        <v>42917</v>
      </c>
      <c r="L77">
        <f t="shared" ca="1" si="2"/>
        <v>8</v>
      </c>
      <c r="M77" t="str" cm="1">
        <f t="array" aca="1" ref="M77" ca="1">_xlfn.IFS( L77 &lt;=2, "New", L77&lt;=6, "Engaged", L77 &gt;6, "Loyal")</f>
        <v>Loyal</v>
      </c>
      <c r="N77">
        <f t="shared" si="3"/>
        <v>2017</v>
      </c>
    </row>
    <row r="78" spans="1:14" x14ac:dyDescent="0.25">
      <c r="A78" t="s">
        <v>176</v>
      </c>
      <c r="B78" t="s">
        <v>177</v>
      </c>
      <c r="C78" t="s">
        <v>16</v>
      </c>
      <c r="D78">
        <v>61</v>
      </c>
      <c r="E78" t="str" cm="1">
        <f t="array" ref="E78">_xlfn.IFS(D78 &lt; 26, "Gen Z", D78 &lt;= 41, "Millennials", D78 &lt;= 57, "Gen X", D78 &gt;= 58, "Boomers")</f>
        <v>Boomers</v>
      </c>
      <c r="F78" t="s">
        <v>11</v>
      </c>
      <c r="G78" t="s">
        <v>12</v>
      </c>
      <c r="H78">
        <v>155044</v>
      </c>
      <c r="I78" t="str" cm="1">
        <f t="array" ref="I78">_xlfn.IFS(H78 &lt; 30000, "Low", H78 &lt; 60000, "Medium", H78 &lt; 100000, "High", H78 &gt;= 100000, "Premium")</f>
        <v>Premium</v>
      </c>
      <c r="J78" t="s">
        <v>13</v>
      </c>
      <c r="K78" s="1">
        <v>44584</v>
      </c>
      <c r="L78">
        <f t="shared" ca="1" si="2"/>
        <v>4</v>
      </c>
      <c r="M78" t="str" cm="1">
        <f t="array" aca="1" ref="M78" ca="1">_xlfn.IFS( L78 &lt;=2, "New", L78&lt;=6, "Engaged", L78 &gt;6, "Loyal")</f>
        <v>Engaged</v>
      </c>
      <c r="N78">
        <f t="shared" si="3"/>
        <v>2022</v>
      </c>
    </row>
    <row r="79" spans="1:14" x14ac:dyDescent="0.25">
      <c r="A79" t="s">
        <v>178</v>
      </c>
      <c r="B79" t="s">
        <v>179</v>
      </c>
      <c r="C79" t="s">
        <v>16</v>
      </c>
      <c r="D79">
        <v>61</v>
      </c>
      <c r="E79" t="str" cm="1">
        <f t="array" ref="E79">_xlfn.IFS(D79 &lt; 26, "Gen Z", D79 &lt;= 41, "Millennials", D79 &lt;= 57, "Gen X", D79 &gt;= 58, "Boomers")</f>
        <v>Boomers</v>
      </c>
      <c r="F79" t="s">
        <v>33</v>
      </c>
      <c r="G79" t="s">
        <v>12</v>
      </c>
      <c r="H79">
        <v>90831</v>
      </c>
      <c r="I79" t="str" cm="1">
        <f t="array" ref="I79">_xlfn.IFS(H79 &lt; 30000, "Low", H79 &lt; 60000, "Medium", H79 &lt; 100000, "High", H79 &gt;= 100000, "Premium")</f>
        <v>High</v>
      </c>
      <c r="J79" t="s">
        <v>13</v>
      </c>
      <c r="K79" s="1">
        <v>43302</v>
      </c>
      <c r="L79">
        <f t="shared" ca="1" si="2"/>
        <v>7</v>
      </c>
      <c r="M79" t="str" cm="1">
        <f t="array" aca="1" ref="M79" ca="1">_xlfn.IFS( L79 &lt;=2, "New", L79&lt;=6, "Engaged", L79 &gt;6, "Loyal")</f>
        <v>Loyal</v>
      </c>
      <c r="N79">
        <f t="shared" si="3"/>
        <v>2018</v>
      </c>
    </row>
    <row r="80" spans="1:14" x14ac:dyDescent="0.25">
      <c r="A80" t="s">
        <v>180</v>
      </c>
      <c r="B80" t="s">
        <v>181</v>
      </c>
      <c r="C80" t="s">
        <v>10</v>
      </c>
      <c r="D80">
        <v>22</v>
      </c>
      <c r="E80" t="str" cm="1">
        <f t="array" ref="E80">_xlfn.IFS(D80 &lt; 26, "Gen Z", D80 &lt;= 41, "Millennials", D80 &lt;= 57, "Gen X", D80 &gt;= 58, "Boomers")</f>
        <v>Gen Z</v>
      </c>
      <c r="F80" t="s">
        <v>11</v>
      </c>
      <c r="G80" t="s">
        <v>30</v>
      </c>
      <c r="H80">
        <v>132217</v>
      </c>
      <c r="I80" t="str" cm="1">
        <f t="array" ref="I80">_xlfn.IFS(H80 &lt; 30000, "Low", H80 &lt; 60000, "Medium", H80 &lt; 100000, "High", H80 &gt;= 100000, "Premium")</f>
        <v>Premium</v>
      </c>
      <c r="J80" t="s">
        <v>19</v>
      </c>
      <c r="K80" s="1">
        <v>44565</v>
      </c>
      <c r="L80">
        <f t="shared" ca="1" si="2"/>
        <v>4</v>
      </c>
      <c r="M80" t="str" cm="1">
        <f t="array" aca="1" ref="M80" ca="1">_xlfn.IFS( L80 &lt;=2, "New", L80&lt;=6, "Engaged", L80 &gt;6, "Loyal")</f>
        <v>Engaged</v>
      </c>
      <c r="N80">
        <f t="shared" si="3"/>
        <v>2022</v>
      </c>
    </row>
    <row r="81" spans="1:14" x14ac:dyDescent="0.25">
      <c r="A81" t="s">
        <v>182</v>
      </c>
      <c r="B81" t="s">
        <v>183</v>
      </c>
      <c r="C81" t="s">
        <v>16</v>
      </c>
      <c r="D81">
        <v>56</v>
      </c>
      <c r="E81" t="str" cm="1">
        <f t="array" ref="E81">_xlfn.IFS(D81 &lt; 26, "Gen Z", D81 &lt;= 41, "Millennials", D81 &lt;= 57, "Gen X", D81 &gt;= 58, "Boomers")</f>
        <v>Gen X</v>
      </c>
      <c r="F81" t="s">
        <v>29</v>
      </c>
      <c r="G81" t="s">
        <v>36</v>
      </c>
      <c r="H81">
        <v>61873</v>
      </c>
      <c r="I81" t="str" cm="1">
        <f t="array" ref="I81">_xlfn.IFS(H81 &lt; 30000, "Low", H81 &lt; 60000, "Medium", H81 &lt; 100000, "High", H81 &gt;= 100000, "Premium")</f>
        <v>High</v>
      </c>
      <c r="J81" t="s">
        <v>19</v>
      </c>
      <c r="K81" s="1">
        <v>43200</v>
      </c>
      <c r="L81">
        <f t="shared" ca="1" si="2"/>
        <v>8</v>
      </c>
      <c r="M81" t="str" cm="1">
        <f t="array" aca="1" ref="M81" ca="1">_xlfn.IFS( L81 &lt;=2, "New", L81&lt;=6, "Engaged", L81 &gt;6, "Loyal")</f>
        <v>Loyal</v>
      </c>
      <c r="N81">
        <f t="shared" si="3"/>
        <v>2018</v>
      </c>
    </row>
    <row r="82" spans="1:14" x14ac:dyDescent="0.25">
      <c r="A82" t="s">
        <v>184</v>
      </c>
      <c r="B82" t="s">
        <v>185</v>
      </c>
      <c r="C82" t="s">
        <v>10</v>
      </c>
      <c r="D82">
        <v>21</v>
      </c>
      <c r="E82" t="str" cm="1">
        <f t="array" ref="E82">_xlfn.IFS(D82 &lt; 26, "Gen Z", D82 &lt;= 41, "Millennials", D82 &lt;= 57, "Gen X", D82 &gt;= 58, "Boomers")</f>
        <v>Gen Z</v>
      </c>
      <c r="F82" t="s">
        <v>29</v>
      </c>
      <c r="G82" t="s">
        <v>41</v>
      </c>
      <c r="H82">
        <v>126532</v>
      </c>
      <c r="I82" t="str" cm="1">
        <f t="array" ref="I82">_xlfn.IFS(H82 &lt; 30000, "Low", H82 &lt; 60000, "Medium", H82 &lt; 100000, "High", H82 &gt;= 100000, "Premium")</f>
        <v>Premium</v>
      </c>
      <c r="J82" t="s">
        <v>13</v>
      </c>
      <c r="K82" s="1">
        <v>45011</v>
      </c>
      <c r="L82">
        <f t="shared" ca="1" si="2"/>
        <v>3</v>
      </c>
      <c r="M82" t="str" cm="1">
        <f t="array" aca="1" ref="M82" ca="1">_xlfn.IFS( L82 &lt;=2, "New", L82&lt;=6, "Engaged", L82 &gt;6, "Loyal")</f>
        <v>Engaged</v>
      </c>
      <c r="N82">
        <f t="shared" si="3"/>
        <v>2023</v>
      </c>
    </row>
    <row r="83" spans="1:14" x14ac:dyDescent="0.25">
      <c r="A83" t="s">
        <v>186</v>
      </c>
      <c r="B83" t="s">
        <v>187</v>
      </c>
      <c r="C83" t="s">
        <v>16</v>
      </c>
      <c r="D83">
        <v>23</v>
      </c>
      <c r="E83" t="str" cm="1">
        <f t="array" ref="E83">_xlfn.IFS(D83 &lt; 26, "Gen Z", D83 &lt;= 41, "Millennials", D83 &lt;= 57, "Gen X", D83 &gt;= 58, "Boomers")</f>
        <v>Gen Z</v>
      </c>
      <c r="F83" t="s">
        <v>29</v>
      </c>
      <c r="G83" t="s">
        <v>18</v>
      </c>
      <c r="H83">
        <v>146267</v>
      </c>
      <c r="I83" t="str" cm="1">
        <f t="array" ref="I83">_xlfn.IFS(H83 &lt; 30000, "Low", H83 &lt; 60000, "Medium", H83 &lt; 100000, "High", H83 &gt;= 100000, "Premium")</f>
        <v>Premium</v>
      </c>
      <c r="J83" t="s">
        <v>23</v>
      </c>
      <c r="K83" s="1">
        <v>45791</v>
      </c>
      <c r="L83">
        <f t="shared" ca="1" si="2"/>
        <v>0</v>
      </c>
      <c r="M83" t="str" cm="1">
        <f t="array" aca="1" ref="M83" ca="1">_xlfn.IFS( L83 &lt;=2, "New", L83&lt;=6, "Engaged", L83 &gt;6, "Loyal")</f>
        <v>New</v>
      </c>
      <c r="N83">
        <f t="shared" si="3"/>
        <v>2025</v>
      </c>
    </row>
    <row r="84" spans="1:14" x14ac:dyDescent="0.25">
      <c r="A84" t="s">
        <v>188</v>
      </c>
      <c r="B84" t="s">
        <v>189</v>
      </c>
      <c r="C84" t="s">
        <v>10</v>
      </c>
      <c r="D84">
        <v>62</v>
      </c>
      <c r="E84" t="str" cm="1">
        <f t="array" ref="E84">_xlfn.IFS(D84 &lt; 26, "Gen Z", D84 &lt;= 41, "Millennials", D84 &lt;= 57, "Gen X", D84 &gt;= 58, "Boomers")</f>
        <v>Boomers</v>
      </c>
      <c r="F84" t="s">
        <v>11</v>
      </c>
      <c r="G84" t="s">
        <v>30</v>
      </c>
      <c r="H84">
        <v>160975</v>
      </c>
      <c r="I84" t="str" cm="1">
        <f t="array" ref="I84">_xlfn.IFS(H84 &lt; 30000, "Low", H84 &lt; 60000, "Medium", H84 &lt; 100000, "High", H84 &gt;= 100000, "Premium")</f>
        <v>Premium</v>
      </c>
      <c r="J84" t="s">
        <v>13</v>
      </c>
      <c r="K84" s="1">
        <v>44302</v>
      </c>
      <c r="L84">
        <f t="shared" ca="1" si="2"/>
        <v>5</v>
      </c>
      <c r="M84" t="str" cm="1">
        <f t="array" aca="1" ref="M84" ca="1">_xlfn.IFS( L84 &lt;=2, "New", L84&lt;=6, "Engaged", L84 &gt;6, "Loyal")</f>
        <v>Engaged</v>
      </c>
      <c r="N84">
        <f t="shared" si="3"/>
        <v>2021</v>
      </c>
    </row>
    <row r="85" spans="1:14" x14ac:dyDescent="0.25">
      <c r="A85" t="s">
        <v>190</v>
      </c>
      <c r="B85" t="s">
        <v>191</v>
      </c>
      <c r="C85" t="s">
        <v>16</v>
      </c>
      <c r="D85">
        <v>49</v>
      </c>
      <c r="E85" t="str" cm="1">
        <f t="array" ref="E85">_xlfn.IFS(D85 &lt; 26, "Gen Z", D85 &lt;= 41, "Millennials", D85 &lt;= 57, "Gen X", D85 &gt;= 58, "Boomers")</f>
        <v>Gen X</v>
      </c>
      <c r="F85" t="s">
        <v>33</v>
      </c>
      <c r="G85" t="s">
        <v>26</v>
      </c>
      <c r="H85">
        <v>154092</v>
      </c>
      <c r="I85" t="str" cm="1">
        <f t="array" ref="I85">_xlfn.IFS(H85 &lt; 30000, "Low", H85 &lt; 60000, "Medium", H85 &lt; 100000, "High", H85 &gt;= 100000, "Premium")</f>
        <v>Premium</v>
      </c>
      <c r="J85" t="s">
        <v>23</v>
      </c>
      <c r="K85" s="1">
        <v>44288</v>
      </c>
      <c r="L85">
        <f t="shared" ca="1" si="2"/>
        <v>5</v>
      </c>
      <c r="M85" t="str" cm="1">
        <f t="array" aca="1" ref="M85" ca="1">_xlfn.IFS( L85 &lt;=2, "New", L85&lt;=6, "Engaged", L85 &gt;6, "Loyal")</f>
        <v>Engaged</v>
      </c>
      <c r="N85">
        <f t="shared" si="3"/>
        <v>2021</v>
      </c>
    </row>
    <row r="86" spans="1:14" x14ac:dyDescent="0.25">
      <c r="A86" t="s">
        <v>192</v>
      </c>
      <c r="B86" t="s">
        <v>193</v>
      </c>
      <c r="C86" t="s">
        <v>10</v>
      </c>
      <c r="D86">
        <v>69</v>
      </c>
      <c r="E86" t="str" cm="1">
        <f t="array" ref="E86">_xlfn.IFS(D86 &lt; 26, "Gen Z", D86 &lt;= 41, "Millennials", D86 &lt;= 57, "Gen X", D86 &gt;= 58, "Boomers")</f>
        <v>Boomers</v>
      </c>
      <c r="F86" t="s">
        <v>33</v>
      </c>
      <c r="G86" t="s">
        <v>36</v>
      </c>
      <c r="H86">
        <v>61755</v>
      </c>
      <c r="I86" t="str" cm="1">
        <f t="array" ref="I86">_xlfn.IFS(H86 &lt; 30000, "Low", H86 &lt; 60000, "Medium", H86 &lt; 100000, "High", H86 &gt;= 100000, "Premium")</f>
        <v>High</v>
      </c>
      <c r="J86" t="s">
        <v>13</v>
      </c>
      <c r="K86" s="1">
        <v>43838</v>
      </c>
      <c r="L86">
        <f t="shared" ca="1" si="2"/>
        <v>6</v>
      </c>
      <c r="M86" t="str" cm="1">
        <f t="array" aca="1" ref="M86" ca="1">_xlfn.IFS( L86 &lt;=2, "New", L86&lt;=6, "Engaged", L86 &gt;6, "Loyal")</f>
        <v>Engaged</v>
      </c>
      <c r="N86">
        <f t="shared" si="3"/>
        <v>2020</v>
      </c>
    </row>
    <row r="87" spans="1:14" x14ac:dyDescent="0.25">
      <c r="A87" t="s">
        <v>194</v>
      </c>
      <c r="B87" t="s">
        <v>195</v>
      </c>
      <c r="C87" t="s">
        <v>10</v>
      </c>
      <c r="D87">
        <v>47</v>
      </c>
      <c r="E87" t="str" cm="1">
        <f t="array" ref="E87">_xlfn.IFS(D87 &lt; 26, "Gen Z", D87 &lt;= 41, "Millennials", D87 &lt;= 57, "Gen X", D87 &gt;= 58, "Boomers")</f>
        <v>Gen X</v>
      </c>
      <c r="F87" t="s">
        <v>11</v>
      </c>
      <c r="G87" t="s">
        <v>36</v>
      </c>
      <c r="H87">
        <v>105956</v>
      </c>
      <c r="I87" t="str" cm="1">
        <f t="array" ref="I87">_xlfn.IFS(H87 &lt; 30000, "Low", H87 &lt; 60000, "Medium", H87 &lt; 100000, "High", H87 &gt;= 100000, "Premium")</f>
        <v>Premium</v>
      </c>
      <c r="J87" t="s">
        <v>13</v>
      </c>
      <c r="K87" s="1">
        <v>44285</v>
      </c>
      <c r="L87">
        <f t="shared" ca="1" si="2"/>
        <v>5</v>
      </c>
      <c r="M87" t="str" cm="1">
        <f t="array" aca="1" ref="M87" ca="1">_xlfn.IFS( L87 &lt;=2, "New", L87&lt;=6, "Engaged", L87 &gt;6, "Loyal")</f>
        <v>Engaged</v>
      </c>
      <c r="N87">
        <f t="shared" si="3"/>
        <v>2021</v>
      </c>
    </row>
    <row r="88" spans="1:14" x14ac:dyDescent="0.25">
      <c r="A88" t="s">
        <v>196</v>
      </c>
      <c r="B88" t="s">
        <v>197</v>
      </c>
      <c r="C88" t="s">
        <v>16</v>
      </c>
      <c r="D88">
        <v>64</v>
      </c>
      <c r="E88" t="str" cm="1">
        <f t="array" ref="E88">_xlfn.IFS(D88 &lt; 26, "Gen Z", D88 &lt;= 41, "Millennials", D88 &lt;= 57, "Gen X", D88 &gt;= 58, "Boomers")</f>
        <v>Boomers</v>
      </c>
      <c r="F88" t="s">
        <v>33</v>
      </c>
      <c r="G88" t="s">
        <v>26</v>
      </c>
      <c r="H88">
        <v>106988</v>
      </c>
      <c r="I88" t="str" cm="1">
        <f t="array" ref="I88">_xlfn.IFS(H88 &lt; 30000, "Low", H88 &lt; 60000, "Medium", H88 &lt; 100000, "High", H88 &gt;= 100000, "Premium")</f>
        <v>Premium</v>
      </c>
      <c r="J88" t="s">
        <v>13</v>
      </c>
      <c r="K88" s="1">
        <v>45811</v>
      </c>
      <c r="L88">
        <f t="shared" ca="1" si="2"/>
        <v>0</v>
      </c>
      <c r="M88" t="str" cm="1">
        <f t="array" aca="1" ref="M88" ca="1">_xlfn.IFS( L88 &lt;=2, "New", L88&lt;=6, "Engaged", L88 &gt;6, "Loyal")</f>
        <v>New</v>
      </c>
      <c r="N88">
        <f t="shared" si="3"/>
        <v>2025</v>
      </c>
    </row>
    <row r="89" spans="1:14" x14ac:dyDescent="0.25">
      <c r="A89" t="s">
        <v>198</v>
      </c>
      <c r="B89" t="s">
        <v>199</v>
      </c>
      <c r="C89" t="s">
        <v>10</v>
      </c>
      <c r="D89">
        <v>52</v>
      </c>
      <c r="E89" t="str" cm="1">
        <f t="array" ref="E89">_xlfn.IFS(D89 &lt; 26, "Gen Z", D89 &lt;= 41, "Millennials", D89 &lt;= 57, "Gen X", D89 &gt;= 58, "Boomers")</f>
        <v>Gen X</v>
      </c>
      <c r="F89" t="s">
        <v>11</v>
      </c>
      <c r="G89" t="s">
        <v>41</v>
      </c>
      <c r="H89">
        <v>65648</v>
      </c>
      <c r="I89" t="str" cm="1">
        <f t="array" ref="I89">_xlfn.IFS(H89 &lt; 30000, "Low", H89 &lt; 60000, "Medium", H89 &lt; 100000, "High", H89 &gt;= 100000, "Premium")</f>
        <v>High</v>
      </c>
      <c r="J89" t="s">
        <v>13</v>
      </c>
      <c r="K89" s="1">
        <v>43744</v>
      </c>
      <c r="L89">
        <f t="shared" ca="1" si="2"/>
        <v>6</v>
      </c>
      <c r="M89" t="str" cm="1">
        <f t="array" aca="1" ref="M89" ca="1">_xlfn.IFS( L89 &lt;=2, "New", L89&lt;=6, "Engaged", L89 &gt;6, "Loyal")</f>
        <v>Engaged</v>
      </c>
      <c r="N89">
        <f t="shared" si="3"/>
        <v>2019</v>
      </c>
    </row>
    <row r="90" spans="1:14" x14ac:dyDescent="0.25">
      <c r="A90" t="s">
        <v>200</v>
      </c>
      <c r="B90" t="s">
        <v>201</v>
      </c>
      <c r="C90" t="s">
        <v>16</v>
      </c>
      <c r="D90">
        <v>72</v>
      </c>
      <c r="E90" t="str" cm="1">
        <f t="array" ref="E90">_xlfn.IFS(D90 &lt; 26, "Gen Z", D90 &lt;= 41, "Millennials", D90 &lt;= 57, "Gen X", D90 &gt;= 58, "Boomers")</f>
        <v>Boomers</v>
      </c>
      <c r="F90" t="s">
        <v>33</v>
      </c>
      <c r="G90" t="s">
        <v>12</v>
      </c>
      <c r="H90">
        <v>145991</v>
      </c>
      <c r="I90" t="str" cm="1">
        <f t="array" ref="I90">_xlfn.IFS(H90 &lt; 30000, "Low", H90 &lt; 60000, "Medium", H90 &lt; 100000, "High", H90 &gt;= 100000, "Premium")</f>
        <v>Premium</v>
      </c>
      <c r="J90" t="s">
        <v>13</v>
      </c>
      <c r="K90" s="1">
        <v>44205</v>
      </c>
      <c r="L90">
        <f t="shared" ca="1" si="2"/>
        <v>5</v>
      </c>
      <c r="M90" t="str" cm="1">
        <f t="array" aca="1" ref="M90" ca="1">_xlfn.IFS( L90 &lt;=2, "New", L90&lt;=6, "Engaged", L90 &gt;6, "Loyal")</f>
        <v>Engaged</v>
      </c>
      <c r="N90">
        <f t="shared" si="3"/>
        <v>2021</v>
      </c>
    </row>
    <row r="91" spans="1:14" x14ac:dyDescent="0.25">
      <c r="A91" t="s">
        <v>202</v>
      </c>
      <c r="B91" t="s">
        <v>203</v>
      </c>
      <c r="C91" t="s">
        <v>16</v>
      </c>
      <c r="D91">
        <v>57</v>
      </c>
      <c r="E91" t="str" cm="1">
        <f t="array" ref="E91">_xlfn.IFS(D91 &lt; 26, "Gen Z", D91 &lt;= 41, "Millennials", D91 &lt;= 57, "Gen X", D91 &gt;= 58, "Boomers")</f>
        <v>Gen X</v>
      </c>
      <c r="F91" t="s">
        <v>17</v>
      </c>
      <c r="G91" t="s">
        <v>30</v>
      </c>
      <c r="H91">
        <v>160588</v>
      </c>
      <c r="I91" t="str" cm="1">
        <f t="array" ref="I91">_xlfn.IFS(H91 &lt; 30000, "Low", H91 &lt; 60000, "Medium", H91 &lt; 100000, "High", H91 &gt;= 100000, "Premium")</f>
        <v>Premium</v>
      </c>
      <c r="J91" t="s">
        <v>13</v>
      </c>
      <c r="K91" s="1">
        <v>42239</v>
      </c>
      <c r="L91">
        <f t="shared" ca="1" si="2"/>
        <v>10</v>
      </c>
      <c r="M91" t="str" cm="1">
        <f t="array" aca="1" ref="M91" ca="1">_xlfn.IFS( L91 &lt;=2, "New", L91&lt;=6, "Engaged", L91 &gt;6, "Loyal")</f>
        <v>Loyal</v>
      </c>
      <c r="N91">
        <f t="shared" si="3"/>
        <v>2015</v>
      </c>
    </row>
    <row r="92" spans="1:14" x14ac:dyDescent="0.25">
      <c r="A92" t="s">
        <v>204</v>
      </c>
      <c r="B92" t="s">
        <v>205</v>
      </c>
      <c r="C92" t="s">
        <v>16</v>
      </c>
      <c r="D92">
        <v>69</v>
      </c>
      <c r="E92" t="str" cm="1">
        <f t="array" ref="E92">_xlfn.IFS(D92 &lt; 26, "Gen Z", D92 &lt;= 41, "Millennials", D92 &lt;= 57, "Gen X", D92 &gt;= 58, "Boomers")</f>
        <v>Boomers</v>
      </c>
      <c r="F92" t="s">
        <v>17</v>
      </c>
      <c r="G92" t="s">
        <v>22</v>
      </c>
      <c r="H92">
        <v>135005</v>
      </c>
      <c r="I92" t="str" cm="1">
        <f t="array" ref="I92">_xlfn.IFS(H92 &lt; 30000, "Low", H92 &lt; 60000, "Medium", H92 &lt; 100000, "High", H92 &gt;= 100000, "Premium")</f>
        <v>Premium</v>
      </c>
      <c r="J92" t="s">
        <v>19</v>
      </c>
      <c r="K92" s="1">
        <v>44775</v>
      </c>
      <c r="L92">
        <f t="shared" ca="1" si="2"/>
        <v>3</v>
      </c>
      <c r="M92" t="str" cm="1">
        <f t="array" aca="1" ref="M92" ca="1">_xlfn.IFS( L92 &lt;=2, "New", L92&lt;=6, "Engaged", L92 &gt;6, "Loyal")</f>
        <v>Engaged</v>
      </c>
      <c r="N92">
        <f t="shared" si="3"/>
        <v>2022</v>
      </c>
    </row>
    <row r="93" spans="1:14" x14ac:dyDescent="0.25">
      <c r="A93" t="s">
        <v>206</v>
      </c>
      <c r="B93" t="s">
        <v>207</v>
      </c>
      <c r="C93" t="s">
        <v>16</v>
      </c>
      <c r="D93">
        <v>33</v>
      </c>
      <c r="E93" t="str" cm="1">
        <f t="array" ref="E93">_xlfn.IFS(D93 &lt; 26, "Gen Z", D93 &lt;= 41, "Millennials", D93 &lt;= 57, "Gen X", D93 &gt;= 58, "Boomers")</f>
        <v>Millennials</v>
      </c>
      <c r="F93" t="s">
        <v>29</v>
      </c>
      <c r="G93" t="s">
        <v>18</v>
      </c>
      <c r="H93">
        <v>22396</v>
      </c>
      <c r="I93" t="str" cm="1">
        <f t="array" ref="I93">_xlfn.IFS(H93 &lt; 30000, "Low", H93 &lt; 60000, "Medium", H93 &lt; 100000, "High", H93 &gt;= 100000, "Premium")</f>
        <v>Low</v>
      </c>
      <c r="J93" t="s">
        <v>13</v>
      </c>
      <c r="K93" s="1">
        <v>42531</v>
      </c>
      <c r="L93">
        <f t="shared" ca="1" si="2"/>
        <v>9</v>
      </c>
      <c r="M93" t="str" cm="1">
        <f t="array" aca="1" ref="M93" ca="1">_xlfn.IFS( L93 &lt;=2, "New", L93&lt;=6, "Engaged", L93 &gt;6, "Loyal")</f>
        <v>Loyal</v>
      </c>
      <c r="N93">
        <f t="shared" si="3"/>
        <v>2016</v>
      </c>
    </row>
    <row r="94" spans="1:14" x14ac:dyDescent="0.25">
      <c r="A94" t="s">
        <v>208</v>
      </c>
      <c r="B94" t="s">
        <v>209</v>
      </c>
      <c r="C94" t="s">
        <v>16</v>
      </c>
      <c r="D94">
        <v>30</v>
      </c>
      <c r="E94" t="str" cm="1">
        <f t="array" ref="E94">_xlfn.IFS(D94 &lt; 26, "Gen Z", D94 &lt;= 41, "Millennials", D94 &lt;= 57, "Gen X", D94 &gt;= 58, "Boomers")</f>
        <v>Millennials</v>
      </c>
      <c r="F94" t="s">
        <v>17</v>
      </c>
      <c r="G94" t="s">
        <v>22</v>
      </c>
      <c r="H94">
        <v>104082</v>
      </c>
      <c r="I94" t="str" cm="1">
        <f t="array" ref="I94">_xlfn.IFS(H94 &lt; 30000, "Low", H94 &lt; 60000, "Medium", H94 &lt; 100000, "High", H94 &gt;= 100000, "Premium")</f>
        <v>Premium</v>
      </c>
      <c r="J94" t="s">
        <v>13</v>
      </c>
      <c r="K94" s="1">
        <v>43102</v>
      </c>
      <c r="L94">
        <f t="shared" ca="1" si="2"/>
        <v>8</v>
      </c>
      <c r="M94" t="str" cm="1">
        <f t="array" aca="1" ref="M94" ca="1">_xlfn.IFS( L94 &lt;=2, "New", L94&lt;=6, "Engaged", L94 &gt;6, "Loyal")</f>
        <v>Loyal</v>
      </c>
      <c r="N94">
        <f t="shared" si="3"/>
        <v>2018</v>
      </c>
    </row>
    <row r="95" spans="1:14" x14ac:dyDescent="0.25">
      <c r="A95" t="s">
        <v>210</v>
      </c>
      <c r="B95" t="s">
        <v>211</v>
      </c>
      <c r="C95" t="s">
        <v>16</v>
      </c>
      <c r="D95">
        <v>67</v>
      </c>
      <c r="E95" t="str" cm="1">
        <f t="array" ref="E95">_xlfn.IFS(D95 &lt; 26, "Gen Z", D95 &lt;= 41, "Millennials", D95 &lt;= 57, "Gen X", D95 &gt;= 58, "Boomers")</f>
        <v>Boomers</v>
      </c>
      <c r="F95" t="s">
        <v>17</v>
      </c>
      <c r="G95" t="s">
        <v>26</v>
      </c>
      <c r="H95">
        <v>170201</v>
      </c>
      <c r="I95" t="str" cm="1">
        <f t="array" ref="I95">_xlfn.IFS(H95 &lt; 30000, "Low", H95 &lt; 60000, "Medium", H95 &lt; 100000, "High", H95 &gt;= 100000, "Premium")</f>
        <v>Premium</v>
      </c>
      <c r="J95" t="s">
        <v>19</v>
      </c>
      <c r="K95" s="1">
        <v>45234</v>
      </c>
      <c r="L95">
        <f t="shared" ca="1" si="2"/>
        <v>2</v>
      </c>
      <c r="M95" t="str" cm="1">
        <f t="array" aca="1" ref="M95" ca="1">_xlfn.IFS( L95 &lt;=2, "New", L95&lt;=6, "Engaged", L95 &gt;6, "Loyal")</f>
        <v>New</v>
      </c>
      <c r="N95">
        <f t="shared" si="3"/>
        <v>2023</v>
      </c>
    </row>
    <row r="96" spans="1:14" x14ac:dyDescent="0.25">
      <c r="A96" t="s">
        <v>212</v>
      </c>
      <c r="B96" t="s">
        <v>213</v>
      </c>
      <c r="C96" t="s">
        <v>16</v>
      </c>
      <c r="D96">
        <v>59</v>
      </c>
      <c r="E96" t="str" cm="1">
        <f t="array" ref="E96">_xlfn.IFS(D96 &lt; 26, "Gen Z", D96 &lt;= 41, "Millennials", D96 &lt;= 57, "Gen X", D96 &gt;= 58, "Boomers")</f>
        <v>Boomers</v>
      </c>
      <c r="F96" t="s">
        <v>17</v>
      </c>
      <c r="G96" t="s">
        <v>36</v>
      </c>
      <c r="H96">
        <v>148322</v>
      </c>
      <c r="I96" t="str" cm="1">
        <f t="array" ref="I96">_xlfn.IFS(H96 &lt; 30000, "Low", H96 &lt; 60000, "Medium", H96 &lt; 100000, "High", H96 &gt;= 100000, "Premium")</f>
        <v>Premium</v>
      </c>
      <c r="J96" t="s">
        <v>19</v>
      </c>
      <c r="K96" s="1">
        <v>44381</v>
      </c>
      <c r="L96">
        <f t="shared" ca="1" si="2"/>
        <v>4</v>
      </c>
      <c r="M96" t="str" cm="1">
        <f t="array" aca="1" ref="M96" ca="1">_xlfn.IFS( L96 &lt;=2, "New", L96&lt;=6, "Engaged", L96 &gt;6, "Loyal")</f>
        <v>Engaged</v>
      </c>
      <c r="N96">
        <f t="shared" si="3"/>
        <v>2021</v>
      </c>
    </row>
    <row r="97" spans="1:14" x14ac:dyDescent="0.25">
      <c r="A97" t="s">
        <v>214</v>
      </c>
      <c r="B97" t="s">
        <v>215</v>
      </c>
      <c r="C97" t="s">
        <v>16</v>
      </c>
      <c r="D97">
        <v>47</v>
      </c>
      <c r="E97" t="str" cm="1">
        <f t="array" ref="E97">_xlfn.IFS(D97 &lt; 26, "Gen Z", D97 &lt;= 41, "Millennials", D97 &lt;= 57, "Gen X", D97 &gt;= 58, "Boomers")</f>
        <v>Gen X</v>
      </c>
      <c r="F97" t="s">
        <v>11</v>
      </c>
      <c r="G97" t="s">
        <v>41</v>
      </c>
      <c r="H97">
        <v>152663</v>
      </c>
      <c r="I97" t="str" cm="1">
        <f t="array" ref="I97">_xlfn.IFS(H97 &lt; 30000, "Low", H97 &lt; 60000, "Medium", H97 &lt; 100000, "High", H97 &gt;= 100000, "Premium")</f>
        <v>Premium</v>
      </c>
      <c r="J97" t="s">
        <v>13</v>
      </c>
      <c r="K97" s="1">
        <v>42976</v>
      </c>
      <c r="L97">
        <f t="shared" ca="1" si="2"/>
        <v>8</v>
      </c>
      <c r="M97" t="str" cm="1">
        <f t="array" aca="1" ref="M97" ca="1">_xlfn.IFS( L97 &lt;=2, "New", L97&lt;=6, "Engaged", L97 &gt;6, "Loyal")</f>
        <v>Loyal</v>
      </c>
      <c r="N97">
        <f t="shared" si="3"/>
        <v>2017</v>
      </c>
    </row>
    <row r="98" spans="1:14" x14ac:dyDescent="0.25">
      <c r="A98" t="s">
        <v>216</v>
      </c>
      <c r="B98" t="s">
        <v>217</v>
      </c>
      <c r="C98" t="s">
        <v>16</v>
      </c>
      <c r="D98">
        <v>36</v>
      </c>
      <c r="E98" t="str" cm="1">
        <f t="array" ref="E98">_xlfn.IFS(D98 &lt; 26, "Gen Z", D98 &lt;= 41, "Millennials", D98 &lt;= 57, "Gen X", D98 &gt;= 58, "Boomers")</f>
        <v>Millennials</v>
      </c>
      <c r="F98" t="s">
        <v>17</v>
      </c>
      <c r="G98" t="s">
        <v>36</v>
      </c>
      <c r="H98">
        <v>31303</v>
      </c>
      <c r="I98" t="str" cm="1">
        <f t="array" ref="I98">_xlfn.IFS(H98 &lt; 30000, "Low", H98 &lt; 60000, "Medium", H98 &lt; 100000, "High", H98 &gt;= 100000, "Premium")</f>
        <v>Medium</v>
      </c>
      <c r="J98" t="s">
        <v>13</v>
      </c>
      <c r="K98" s="1">
        <v>43091</v>
      </c>
      <c r="L98">
        <f t="shared" ca="1" si="2"/>
        <v>8</v>
      </c>
      <c r="M98" t="str" cm="1">
        <f t="array" aca="1" ref="M98" ca="1">_xlfn.IFS( L98 &lt;=2, "New", L98&lt;=6, "Engaged", L98 &gt;6, "Loyal")</f>
        <v>Loyal</v>
      </c>
      <c r="N98">
        <f t="shared" si="3"/>
        <v>2017</v>
      </c>
    </row>
    <row r="99" spans="1:14" x14ac:dyDescent="0.25">
      <c r="A99" t="s">
        <v>218</v>
      </c>
      <c r="B99" t="s">
        <v>219</v>
      </c>
      <c r="C99" t="s">
        <v>16</v>
      </c>
      <c r="D99">
        <v>34</v>
      </c>
      <c r="E99" t="str" cm="1">
        <f t="array" ref="E99">_xlfn.IFS(D99 &lt; 26, "Gen Z", D99 &lt;= 41, "Millennials", D99 &lt;= 57, "Gen X", D99 &gt;= 58, "Boomers")</f>
        <v>Millennials</v>
      </c>
      <c r="F99" t="s">
        <v>17</v>
      </c>
      <c r="G99" t="s">
        <v>18</v>
      </c>
      <c r="H99">
        <v>181633</v>
      </c>
      <c r="I99" t="str" cm="1">
        <f t="array" ref="I99">_xlfn.IFS(H99 &lt; 30000, "Low", H99 &lt; 60000, "Medium", H99 &lt; 100000, "High", H99 &gt;= 100000, "Premium")</f>
        <v>Premium</v>
      </c>
      <c r="J99" t="s">
        <v>13</v>
      </c>
      <c r="K99" s="1">
        <v>45099</v>
      </c>
      <c r="L99">
        <f t="shared" ca="1" si="2"/>
        <v>2</v>
      </c>
      <c r="M99" t="str" cm="1">
        <f t="array" aca="1" ref="M99" ca="1">_xlfn.IFS( L99 &lt;=2, "New", L99&lt;=6, "Engaged", L99 &gt;6, "Loyal")</f>
        <v>New</v>
      </c>
      <c r="N99">
        <f t="shared" si="3"/>
        <v>2023</v>
      </c>
    </row>
    <row r="100" spans="1:14" x14ac:dyDescent="0.25">
      <c r="A100" t="s">
        <v>220</v>
      </c>
      <c r="B100" t="s">
        <v>221</v>
      </c>
      <c r="C100" t="s">
        <v>16</v>
      </c>
      <c r="D100">
        <v>73</v>
      </c>
      <c r="E100" t="str" cm="1">
        <f t="array" ref="E100">_xlfn.IFS(D100 &lt; 26, "Gen Z", D100 &lt;= 41, "Millennials", D100 &lt;= 57, "Gen X", D100 &gt;= 58, "Boomers")</f>
        <v>Boomers</v>
      </c>
      <c r="F100" t="s">
        <v>29</v>
      </c>
      <c r="G100" t="s">
        <v>36</v>
      </c>
      <c r="H100">
        <v>91719</v>
      </c>
      <c r="I100" t="str" cm="1">
        <f t="array" ref="I100">_xlfn.IFS(H100 &lt; 30000, "Low", H100 &lt; 60000, "Medium", H100 &lt; 100000, "High", H100 &gt;= 100000, "Premium")</f>
        <v>High</v>
      </c>
      <c r="J100" t="s">
        <v>13</v>
      </c>
      <c r="K100" s="1">
        <v>44154</v>
      </c>
      <c r="L100">
        <f t="shared" ca="1" si="2"/>
        <v>5</v>
      </c>
      <c r="M100" t="str" cm="1">
        <f t="array" aca="1" ref="M100" ca="1">_xlfn.IFS( L100 &lt;=2, "New", L100&lt;=6, "Engaged", L100 &gt;6, "Loyal")</f>
        <v>Engaged</v>
      </c>
      <c r="N100">
        <f t="shared" si="3"/>
        <v>2020</v>
      </c>
    </row>
    <row r="101" spans="1:14" x14ac:dyDescent="0.25">
      <c r="A101" t="s">
        <v>222</v>
      </c>
      <c r="B101" t="s">
        <v>223</v>
      </c>
      <c r="C101" t="s">
        <v>10</v>
      </c>
      <c r="D101">
        <v>36</v>
      </c>
      <c r="E101" t="str" cm="1">
        <f t="array" ref="E101">_xlfn.IFS(D101 &lt; 26, "Gen Z", D101 &lt;= 41, "Millennials", D101 &lt;= 57, "Gen X", D101 &gt;= 58, "Boomers")</f>
        <v>Millennials</v>
      </c>
      <c r="F101" t="s">
        <v>17</v>
      </c>
      <c r="G101" t="s">
        <v>36</v>
      </c>
      <c r="H101">
        <v>119616</v>
      </c>
      <c r="I101" t="str" cm="1">
        <f t="array" ref="I101">_xlfn.IFS(H101 &lt; 30000, "Low", H101 &lt; 60000, "Medium", H101 &lt; 100000, "High", H101 &gt;= 100000, "Premium")</f>
        <v>Premium</v>
      </c>
      <c r="J101" t="s">
        <v>19</v>
      </c>
      <c r="K101" s="1">
        <v>44942</v>
      </c>
      <c r="L101">
        <f t="shared" ca="1" si="2"/>
        <v>3</v>
      </c>
      <c r="M101" t="str" cm="1">
        <f t="array" aca="1" ref="M101" ca="1">_xlfn.IFS( L101 &lt;=2, "New", L101&lt;=6, "Engaged", L101 &gt;6, "Loyal")</f>
        <v>Engaged</v>
      </c>
      <c r="N101">
        <f t="shared" si="3"/>
        <v>2023</v>
      </c>
    </row>
    <row r="102" spans="1:14" x14ac:dyDescent="0.25">
      <c r="A102" t="s">
        <v>224</v>
      </c>
      <c r="B102" t="s">
        <v>225</v>
      </c>
      <c r="C102" t="s">
        <v>10</v>
      </c>
      <c r="D102">
        <v>45</v>
      </c>
      <c r="E102" t="str" cm="1">
        <f t="array" ref="E102">_xlfn.IFS(D102 &lt; 26, "Gen Z", D102 &lt;= 41, "Millennials", D102 &lt;= 57, "Gen X", D102 &gt;= 58, "Boomers")</f>
        <v>Gen X</v>
      </c>
      <c r="F102" t="s">
        <v>17</v>
      </c>
      <c r="G102" t="s">
        <v>18</v>
      </c>
      <c r="H102">
        <v>144165</v>
      </c>
      <c r="I102" t="str" cm="1">
        <f t="array" ref="I102">_xlfn.IFS(H102 &lt; 30000, "Low", H102 &lt; 60000, "Medium", H102 &lt; 100000, "High", H102 &gt;= 100000, "Premium")</f>
        <v>Premium</v>
      </c>
      <c r="J102" t="s">
        <v>13</v>
      </c>
      <c r="K102" s="1">
        <v>44018</v>
      </c>
      <c r="L102">
        <f t="shared" ca="1" si="2"/>
        <v>5</v>
      </c>
      <c r="M102" t="str" cm="1">
        <f t="array" aca="1" ref="M102" ca="1">_xlfn.IFS( L102 &lt;=2, "New", L102&lt;=6, "Engaged", L102 &gt;6, "Loyal")</f>
        <v>Engaged</v>
      </c>
      <c r="N102">
        <f t="shared" si="3"/>
        <v>2020</v>
      </c>
    </row>
    <row r="103" spans="1:14" x14ac:dyDescent="0.25">
      <c r="A103" t="s">
        <v>226</v>
      </c>
      <c r="B103" t="s">
        <v>227</v>
      </c>
      <c r="C103" t="s">
        <v>16</v>
      </c>
      <c r="D103">
        <v>72</v>
      </c>
      <c r="E103" t="str" cm="1">
        <f t="array" ref="E103">_xlfn.IFS(D103 &lt; 26, "Gen Z", D103 &lt;= 41, "Millennials", D103 &lt;= 57, "Gen X", D103 &gt;= 58, "Boomers")</f>
        <v>Boomers</v>
      </c>
      <c r="F103" t="s">
        <v>33</v>
      </c>
      <c r="G103" t="s">
        <v>30</v>
      </c>
      <c r="H103">
        <v>106231</v>
      </c>
      <c r="I103" t="str" cm="1">
        <f t="array" ref="I103">_xlfn.IFS(H103 &lt; 30000, "Low", H103 &lt; 60000, "Medium", H103 &lt; 100000, "High", H103 &gt;= 100000, "Premium")</f>
        <v>Premium</v>
      </c>
      <c r="J103" t="s">
        <v>13</v>
      </c>
      <c r="K103" s="1">
        <v>44560</v>
      </c>
      <c r="L103">
        <f t="shared" ca="1" si="2"/>
        <v>4</v>
      </c>
      <c r="M103" t="str" cm="1">
        <f t="array" aca="1" ref="M103" ca="1">_xlfn.IFS( L103 &lt;=2, "New", L103&lt;=6, "Engaged", L103 &gt;6, "Loyal")</f>
        <v>Engaged</v>
      </c>
      <c r="N103">
        <f t="shared" si="3"/>
        <v>2021</v>
      </c>
    </row>
    <row r="104" spans="1:14" x14ac:dyDescent="0.25">
      <c r="A104" t="s">
        <v>228</v>
      </c>
      <c r="B104" t="s">
        <v>229</v>
      </c>
      <c r="C104" t="s">
        <v>16</v>
      </c>
      <c r="D104">
        <v>43</v>
      </c>
      <c r="E104" t="str" cm="1">
        <f t="array" ref="E104">_xlfn.IFS(D104 &lt; 26, "Gen Z", D104 &lt;= 41, "Millennials", D104 &lt;= 57, "Gen X", D104 &gt;= 58, "Boomers")</f>
        <v>Gen X</v>
      </c>
      <c r="F104" t="s">
        <v>29</v>
      </c>
      <c r="G104" t="s">
        <v>30</v>
      </c>
      <c r="H104">
        <v>27314</v>
      </c>
      <c r="I104" t="str" cm="1">
        <f t="array" ref="I104">_xlfn.IFS(H104 &lt; 30000, "Low", H104 &lt; 60000, "Medium", H104 &lt; 100000, "High", H104 &gt;= 100000, "Premium")</f>
        <v>Low</v>
      </c>
      <c r="J104" t="s">
        <v>19</v>
      </c>
      <c r="K104" s="1">
        <v>44706</v>
      </c>
      <c r="L104">
        <f t="shared" ca="1" si="2"/>
        <v>3</v>
      </c>
      <c r="M104" t="str" cm="1">
        <f t="array" aca="1" ref="M104" ca="1">_xlfn.IFS( L104 &lt;=2, "New", L104&lt;=6, "Engaged", L104 &gt;6, "Loyal")</f>
        <v>Engaged</v>
      </c>
      <c r="N104">
        <f t="shared" si="3"/>
        <v>2022</v>
      </c>
    </row>
    <row r="105" spans="1:14" x14ac:dyDescent="0.25">
      <c r="A105" t="s">
        <v>230</v>
      </c>
      <c r="B105" t="s">
        <v>231</v>
      </c>
      <c r="C105" t="s">
        <v>16</v>
      </c>
      <c r="D105">
        <v>54</v>
      </c>
      <c r="E105" t="str" cm="1">
        <f t="array" ref="E105">_xlfn.IFS(D105 &lt; 26, "Gen Z", D105 &lt;= 41, "Millennials", D105 &lt;= 57, "Gen X", D105 &gt;= 58, "Boomers")</f>
        <v>Gen X</v>
      </c>
      <c r="F105" t="s">
        <v>29</v>
      </c>
      <c r="G105" t="s">
        <v>18</v>
      </c>
      <c r="H105">
        <v>39623</v>
      </c>
      <c r="I105" t="str" cm="1">
        <f t="array" ref="I105">_xlfn.IFS(H105 &lt; 30000, "Low", H105 &lt; 60000, "Medium", H105 &lt; 100000, "High", H105 &gt;= 100000, "Premium")</f>
        <v>Medium</v>
      </c>
      <c r="J105" t="s">
        <v>13</v>
      </c>
      <c r="K105" s="1">
        <v>42645</v>
      </c>
      <c r="L105">
        <f t="shared" ca="1" si="2"/>
        <v>9</v>
      </c>
      <c r="M105" t="str" cm="1">
        <f t="array" aca="1" ref="M105" ca="1">_xlfn.IFS( L105 &lt;=2, "New", L105&lt;=6, "Engaged", L105 &gt;6, "Loyal")</f>
        <v>Loyal</v>
      </c>
      <c r="N105">
        <f t="shared" si="3"/>
        <v>2016</v>
      </c>
    </row>
    <row r="106" spans="1:14" x14ac:dyDescent="0.25">
      <c r="A106" t="s">
        <v>232</v>
      </c>
      <c r="B106" t="s">
        <v>233</v>
      </c>
      <c r="C106" t="s">
        <v>16</v>
      </c>
      <c r="D106">
        <v>43</v>
      </c>
      <c r="E106" t="str" cm="1">
        <f t="array" ref="E106">_xlfn.IFS(D106 &lt; 26, "Gen Z", D106 &lt;= 41, "Millennials", D106 &lt;= 57, "Gen X", D106 &gt;= 58, "Boomers")</f>
        <v>Gen X</v>
      </c>
      <c r="F106" t="s">
        <v>29</v>
      </c>
      <c r="G106" t="s">
        <v>41</v>
      </c>
      <c r="H106">
        <v>125228</v>
      </c>
      <c r="I106" t="str" cm="1">
        <f t="array" ref="I106">_xlfn.IFS(H106 &lt; 30000, "Low", H106 &lt; 60000, "Medium", H106 &lt; 100000, "High", H106 &gt;= 100000, "Premium")</f>
        <v>Premium</v>
      </c>
      <c r="J106" t="s">
        <v>13</v>
      </c>
      <c r="K106" s="1">
        <v>45748</v>
      </c>
      <c r="L106">
        <f t="shared" ca="1" si="2"/>
        <v>1</v>
      </c>
      <c r="M106" t="str" cm="1">
        <f t="array" aca="1" ref="M106" ca="1">_xlfn.IFS( L106 &lt;=2, "New", L106&lt;=6, "Engaged", L106 &gt;6, "Loyal")</f>
        <v>New</v>
      </c>
      <c r="N106">
        <f t="shared" si="3"/>
        <v>2025</v>
      </c>
    </row>
    <row r="107" spans="1:14" x14ac:dyDescent="0.25">
      <c r="A107" t="s">
        <v>234</v>
      </c>
      <c r="B107" t="s">
        <v>235</v>
      </c>
      <c r="C107" t="s">
        <v>16</v>
      </c>
      <c r="D107">
        <v>70</v>
      </c>
      <c r="E107" t="str" cm="1">
        <f t="array" ref="E107">_xlfn.IFS(D107 &lt; 26, "Gen Z", D107 &lt;= 41, "Millennials", D107 &lt;= 57, "Gen X", D107 &gt;= 58, "Boomers")</f>
        <v>Boomers</v>
      </c>
      <c r="F107" t="s">
        <v>29</v>
      </c>
      <c r="G107" t="s">
        <v>26</v>
      </c>
      <c r="H107">
        <v>184202</v>
      </c>
      <c r="I107" t="str" cm="1">
        <f t="array" ref="I107">_xlfn.IFS(H107 &lt; 30000, "Low", H107 &lt; 60000, "Medium", H107 &lt; 100000, "High", H107 &gt;= 100000, "Premium")</f>
        <v>Premium</v>
      </c>
      <c r="J107" t="s">
        <v>13</v>
      </c>
      <c r="K107" s="1">
        <v>42940</v>
      </c>
      <c r="L107">
        <f t="shared" ca="1" si="2"/>
        <v>8</v>
      </c>
      <c r="M107" t="str" cm="1">
        <f t="array" aca="1" ref="M107" ca="1">_xlfn.IFS( L107 &lt;=2, "New", L107&lt;=6, "Engaged", L107 &gt;6, "Loyal")</f>
        <v>Loyal</v>
      </c>
      <c r="N107">
        <f t="shared" si="3"/>
        <v>2017</v>
      </c>
    </row>
    <row r="108" spans="1:14" x14ac:dyDescent="0.25">
      <c r="A108" t="s">
        <v>236</v>
      </c>
      <c r="B108" t="s">
        <v>237</v>
      </c>
      <c r="C108" t="s">
        <v>16</v>
      </c>
      <c r="D108">
        <v>40</v>
      </c>
      <c r="E108" t="str" cm="1">
        <f t="array" ref="E108">_xlfn.IFS(D108 &lt; 26, "Gen Z", D108 &lt;= 41, "Millennials", D108 &lt;= 57, "Gen X", D108 &gt;= 58, "Boomers")</f>
        <v>Millennials</v>
      </c>
      <c r="F108" t="s">
        <v>29</v>
      </c>
      <c r="G108" t="s">
        <v>36</v>
      </c>
      <c r="H108">
        <v>117624</v>
      </c>
      <c r="I108" t="str" cm="1">
        <f t="array" ref="I108">_xlfn.IFS(H108 &lt; 30000, "Low", H108 &lt; 60000, "Medium", H108 &lt; 100000, "High", H108 &gt;= 100000, "Premium")</f>
        <v>Premium</v>
      </c>
      <c r="J108" t="s">
        <v>23</v>
      </c>
      <c r="K108" s="1">
        <v>45720</v>
      </c>
      <c r="L108">
        <f t="shared" ca="1" si="2"/>
        <v>1</v>
      </c>
      <c r="M108" t="str" cm="1">
        <f t="array" aca="1" ref="M108" ca="1">_xlfn.IFS( L108 &lt;=2, "New", L108&lt;=6, "Engaged", L108 &gt;6, "Loyal")</f>
        <v>New</v>
      </c>
      <c r="N108">
        <f t="shared" si="3"/>
        <v>2025</v>
      </c>
    </row>
    <row r="109" spans="1:14" x14ac:dyDescent="0.25">
      <c r="A109" t="s">
        <v>238</v>
      </c>
      <c r="B109" t="s">
        <v>239</v>
      </c>
      <c r="C109" t="s">
        <v>16</v>
      </c>
      <c r="D109">
        <v>26</v>
      </c>
      <c r="E109" t="str" cm="1">
        <f t="array" ref="E109">_xlfn.IFS(D109 &lt; 26, "Gen Z", D109 &lt;= 41, "Millennials", D109 &lt;= 57, "Gen X", D109 &gt;= 58, "Boomers")</f>
        <v>Millennials</v>
      </c>
      <c r="F109" t="s">
        <v>29</v>
      </c>
      <c r="G109" t="s">
        <v>41</v>
      </c>
      <c r="H109">
        <v>177364</v>
      </c>
      <c r="I109" t="str" cm="1">
        <f t="array" ref="I109">_xlfn.IFS(H109 &lt; 30000, "Low", H109 &lt; 60000, "Medium", H109 &lt; 100000, "High", H109 &gt;= 100000, "Premium")</f>
        <v>Premium</v>
      </c>
      <c r="J109" t="s">
        <v>13</v>
      </c>
      <c r="K109" s="1">
        <v>44224</v>
      </c>
      <c r="L109">
        <f t="shared" ca="1" si="2"/>
        <v>5</v>
      </c>
      <c r="M109" t="str" cm="1">
        <f t="array" aca="1" ref="M109" ca="1">_xlfn.IFS( L109 &lt;=2, "New", L109&lt;=6, "Engaged", L109 &gt;6, "Loyal")</f>
        <v>Engaged</v>
      </c>
      <c r="N109">
        <f t="shared" si="3"/>
        <v>2021</v>
      </c>
    </row>
    <row r="110" spans="1:14" x14ac:dyDescent="0.25">
      <c r="A110" t="s">
        <v>240</v>
      </c>
      <c r="B110" t="s">
        <v>241</v>
      </c>
      <c r="C110" t="s">
        <v>16</v>
      </c>
      <c r="D110">
        <v>29</v>
      </c>
      <c r="E110" t="str" cm="1">
        <f t="array" ref="E110">_xlfn.IFS(D110 &lt; 26, "Gen Z", D110 &lt;= 41, "Millennials", D110 &lt;= 57, "Gen X", D110 &gt;= 58, "Boomers")</f>
        <v>Millennials</v>
      </c>
      <c r="F110" t="s">
        <v>11</v>
      </c>
      <c r="G110" t="s">
        <v>36</v>
      </c>
      <c r="H110">
        <v>131785</v>
      </c>
      <c r="I110" t="str" cm="1">
        <f t="array" ref="I110">_xlfn.IFS(H110 &lt; 30000, "Low", H110 &lt; 60000, "Medium", H110 &lt; 100000, "High", H110 &gt;= 100000, "Premium")</f>
        <v>Premium</v>
      </c>
      <c r="J110" t="s">
        <v>19</v>
      </c>
      <c r="K110" s="1">
        <v>44077</v>
      </c>
      <c r="L110">
        <f t="shared" ca="1" si="2"/>
        <v>5</v>
      </c>
      <c r="M110" t="str" cm="1">
        <f t="array" aca="1" ref="M110" ca="1">_xlfn.IFS( L110 &lt;=2, "New", L110&lt;=6, "Engaged", L110 &gt;6, "Loyal")</f>
        <v>Engaged</v>
      </c>
      <c r="N110">
        <f t="shared" si="3"/>
        <v>2020</v>
      </c>
    </row>
    <row r="111" spans="1:14" x14ac:dyDescent="0.25">
      <c r="A111" t="s">
        <v>242</v>
      </c>
      <c r="B111" t="s">
        <v>243</v>
      </c>
      <c r="C111" t="s">
        <v>10</v>
      </c>
      <c r="D111">
        <v>70</v>
      </c>
      <c r="E111" t="str" cm="1">
        <f t="array" ref="E111">_xlfn.IFS(D111 &lt; 26, "Gen Z", D111 &lt;= 41, "Millennials", D111 &lt;= 57, "Gen X", D111 &gt;= 58, "Boomers")</f>
        <v>Boomers</v>
      </c>
      <c r="F111" t="s">
        <v>17</v>
      </c>
      <c r="G111" t="s">
        <v>26</v>
      </c>
      <c r="H111">
        <v>106206</v>
      </c>
      <c r="I111" t="str" cm="1">
        <f t="array" ref="I111">_xlfn.IFS(H111 &lt; 30000, "Low", H111 &lt; 60000, "Medium", H111 &lt; 100000, "High", H111 &gt;= 100000, "Premium")</f>
        <v>Premium</v>
      </c>
      <c r="J111" t="s">
        <v>13</v>
      </c>
      <c r="K111" s="1">
        <v>43256</v>
      </c>
      <c r="L111">
        <f t="shared" ca="1" si="2"/>
        <v>7</v>
      </c>
      <c r="M111" t="str" cm="1">
        <f t="array" aca="1" ref="M111" ca="1">_xlfn.IFS( L111 &lt;=2, "New", L111&lt;=6, "Engaged", L111 &gt;6, "Loyal")</f>
        <v>Loyal</v>
      </c>
      <c r="N111">
        <f t="shared" si="3"/>
        <v>2018</v>
      </c>
    </row>
    <row r="112" spans="1:14" x14ac:dyDescent="0.25">
      <c r="A112" t="s">
        <v>244</v>
      </c>
      <c r="B112" t="s">
        <v>245</v>
      </c>
      <c r="C112" t="s">
        <v>16</v>
      </c>
      <c r="D112">
        <v>18</v>
      </c>
      <c r="E112" t="str" cm="1">
        <f t="array" ref="E112">_xlfn.IFS(D112 &lt; 26, "Gen Z", D112 &lt;= 41, "Millennials", D112 &lt;= 57, "Gen X", D112 &gt;= 58, "Boomers")</f>
        <v>Gen Z</v>
      </c>
      <c r="F112" t="s">
        <v>29</v>
      </c>
      <c r="G112" t="s">
        <v>30</v>
      </c>
      <c r="H112">
        <v>89274</v>
      </c>
      <c r="I112" t="str" cm="1">
        <f t="array" ref="I112">_xlfn.IFS(H112 &lt; 30000, "Low", H112 &lt; 60000, "Medium", H112 &lt; 100000, "High", H112 &gt;= 100000, "Premium")</f>
        <v>High</v>
      </c>
      <c r="J112" t="s">
        <v>13</v>
      </c>
      <c r="K112" s="1">
        <v>43657</v>
      </c>
      <c r="L112">
        <f t="shared" ca="1" si="2"/>
        <v>6</v>
      </c>
      <c r="M112" t="str" cm="1">
        <f t="array" aca="1" ref="M112" ca="1">_xlfn.IFS( L112 &lt;=2, "New", L112&lt;=6, "Engaged", L112 &gt;6, "Loyal")</f>
        <v>Engaged</v>
      </c>
      <c r="N112">
        <f t="shared" si="3"/>
        <v>2019</v>
      </c>
    </row>
    <row r="113" spans="1:14" x14ac:dyDescent="0.25">
      <c r="A113" t="s">
        <v>246</v>
      </c>
      <c r="B113" t="s">
        <v>247</v>
      </c>
      <c r="C113" t="s">
        <v>10</v>
      </c>
      <c r="D113">
        <v>18</v>
      </c>
      <c r="E113" t="str" cm="1">
        <f t="array" ref="E113">_xlfn.IFS(D113 &lt; 26, "Gen Z", D113 &lt;= 41, "Millennials", D113 &lt;= 57, "Gen X", D113 &gt;= 58, "Boomers")</f>
        <v>Gen Z</v>
      </c>
      <c r="F113" t="s">
        <v>17</v>
      </c>
      <c r="G113" t="s">
        <v>41</v>
      </c>
      <c r="H113">
        <v>153541</v>
      </c>
      <c r="I113" t="str" cm="1">
        <f t="array" ref="I113">_xlfn.IFS(H113 &lt; 30000, "Low", H113 &lt; 60000, "Medium", H113 &lt; 100000, "High", H113 &gt;= 100000, "Premium")</f>
        <v>Premium</v>
      </c>
      <c r="J113" t="s">
        <v>19</v>
      </c>
      <c r="K113" s="1">
        <v>43931</v>
      </c>
      <c r="L113">
        <f t="shared" ca="1" si="2"/>
        <v>6</v>
      </c>
      <c r="M113" t="str" cm="1">
        <f t="array" aca="1" ref="M113" ca="1">_xlfn.IFS( L113 &lt;=2, "New", L113&lt;=6, "Engaged", L113 &gt;6, "Loyal")</f>
        <v>Engaged</v>
      </c>
      <c r="N113">
        <f t="shared" si="3"/>
        <v>2020</v>
      </c>
    </row>
    <row r="114" spans="1:14" x14ac:dyDescent="0.25">
      <c r="A114" t="s">
        <v>248</v>
      </c>
      <c r="B114" t="s">
        <v>249</v>
      </c>
      <c r="C114" t="s">
        <v>16</v>
      </c>
      <c r="D114">
        <v>64</v>
      </c>
      <c r="E114" t="str" cm="1">
        <f t="array" ref="E114">_xlfn.IFS(D114 &lt; 26, "Gen Z", D114 &lt;= 41, "Millennials", D114 &lt;= 57, "Gen X", D114 &gt;= 58, "Boomers")</f>
        <v>Boomers</v>
      </c>
      <c r="F114" t="s">
        <v>17</v>
      </c>
      <c r="G114" t="s">
        <v>12</v>
      </c>
      <c r="H114">
        <v>73947</v>
      </c>
      <c r="I114" t="str" cm="1">
        <f t="array" ref="I114">_xlfn.IFS(H114 &lt; 30000, "Low", H114 &lt; 60000, "Medium", H114 &lt; 100000, "High", H114 &gt;= 100000, "Premium")</f>
        <v>High</v>
      </c>
      <c r="J114" t="s">
        <v>23</v>
      </c>
      <c r="K114" s="1">
        <v>42445</v>
      </c>
      <c r="L114">
        <f t="shared" ca="1" si="2"/>
        <v>10</v>
      </c>
      <c r="M114" t="str" cm="1">
        <f t="array" aca="1" ref="M114" ca="1">_xlfn.IFS( L114 &lt;=2, "New", L114&lt;=6, "Engaged", L114 &gt;6, "Loyal")</f>
        <v>Loyal</v>
      </c>
      <c r="N114">
        <f t="shared" si="3"/>
        <v>2016</v>
      </c>
    </row>
    <row r="115" spans="1:14" x14ac:dyDescent="0.25">
      <c r="A115" t="s">
        <v>250</v>
      </c>
      <c r="B115" t="s">
        <v>251</v>
      </c>
      <c r="C115" t="s">
        <v>16</v>
      </c>
      <c r="D115">
        <v>51</v>
      </c>
      <c r="E115" t="str" cm="1">
        <f t="array" ref="E115">_xlfn.IFS(D115 &lt; 26, "Gen Z", D115 &lt;= 41, "Millennials", D115 &lt;= 57, "Gen X", D115 &gt;= 58, "Boomers")</f>
        <v>Gen X</v>
      </c>
      <c r="F115" t="s">
        <v>11</v>
      </c>
      <c r="G115" t="s">
        <v>12</v>
      </c>
      <c r="H115">
        <v>173606</v>
      </c>
      <c r="I115" t="str" cm="1">
        <f t="array" ref="I115">_xlfn.IFS(H115 &lt; 30000, "Low", H115 &lt; 60000, "Medium", H115 &lt; 100000, "High", H115 &gt;= 100000, "Premium")</f>
        <v>Premium</v>
      </c>
      <c r="J115" t="s">
        <v>19</v>
      </c>
      <c r="K115" s="1">
        <v>43658</v>
      </c>
      <c r="L115">
        <f t="shared" ca="1" si="2"/>
        <v>6</v>
      </c>
      <c r="M115" t="str" cm="1">
        <f t="array" aca="1" ref="M115" ca="1">_xlfn.IFS( L115 &lt;=2, "New", L115&lt;=6, "Engaged", L115 &gt;6, "Loyal")</f>
        <v>Engaged</v>
      </c>
      <c r="N115">
        <f t="shared" si="3"/>
        <v>2019</v>
      </c>
    </row>
    <row r="116" spans="1:14" x14ac:dyDescent="0.25">
      <c r="A116" t="s">
        <v>252</v>
      </c>
      <c r="B116" t="s">
        <v>253</v>
      </c>
      <c r="C116" t="s">
        <v>10</v>
      </c>
      <c r="D116">
        <v>49</v>
      </c>
      <c r="E116" t="str" cm="1">
        <f t="array" ref="E116">_xlfn.IFS(D116 &lt; 26, "Gen Z", D116 &lt;= 41, "Millennials", D116 &lt;= 57, "Gen X", D116 &gt;= 58, "Boomers")</f>
        <v>Gen X</v>
      </c>
      <c r="F116" t="s">
        <v>29</v>
      </c>
      <c r="G116" t="s">
        <v>12</v>
      </c>
      <c r="H116">
        <v>68874</v>
      </c>
      <c r="I116" t="str" cm="1">
        <f t="array" ref="I116">_xlfn.IFS(H116 &lt; 30000, "Low", H116 &lt; 60000, "Medium", H116 &lt; 100000, "High", H116 &gt;= 100000, "Premium")</f>
        <v>High</v>
      </c>
      <c r="J116" t="s">
        <v>19</v>
      </c>
      <c r="K116" s="1">
        <v>45532</v>
      </c>
      <c r="L116">
        <f t="shared" ca="1" si="2"/>
        <v>1</v>
      </c>
      <c r="M116" t="str" cm="1">
        <f t="array" aca="1" ref="M116" ca="1">_xlfn.IFS( L116 &lt;=2, "New", L116&lt;=6, "Engaged", L116 &gt;6, "Loyal")</f>
        <v>New</v>
      </c>
      <c r="N116">
        <f t="shared" si="3"/>
        <v>2024</v>
      </c>
    </row>
    <row r="117" spans="1:14" x14ac:dyDescent="0.25">
      <c r="A117" t="s">
        <v>254</v>
      </c>
      <c r="B117" t="s">
        <v>255</v>
      </c>
      <c r="C117" t="s">
        <v>16</v>
      </c>
      <c r="D117">
        <v>71</v>
      </c>
      <c r="E117" t="str" cm="1">
        <f t="array" ref="E117">_xlfn.IFS(D117 &lt; 26, "Gen Z", D117 &lt;= 41, "Millennials", D117 &lt;= 57, "Gen X", D117 &gt;= 58, "Boomers")</f>
        <v>Boomers</v>
      </c>
      <c r="F117" t="s">
        <v>33</v>
      </c>
      <c r="G117" t="s">
        <v>30</v>
      </c>
      <c r="H117">
        <v>69708</v>
      </c>
      <c r="I117" t="str" cm="1">
        <f t="array" ref="I117">_xlfn.IFS(H117 &lt; 30000, "Low", H117 &lt; 60000, "Medium", H117 &lt; 100000, "High", H117 &gt;= 100000, "Premium")</f>
        <v>High</v>
      </c>
      <c r="J117" t="s">
        <v>19</v>
      </c>
      <c r="K117" s="1">
        <v>45797</v>
      </c>
      <c r="L117">
        <f t="shared" ca="1" si="2"/>
        <v>0</v>
      </c>
      <c r="M117" t="str" cm="1">
        <f t="array" aca="1" ref="M117" ca="1">_xlfn.IFS( L117 &lt;=2, "New", L117&lt;=6, "Engaged", L117 &gt;6, "Loyal")</f>
        <v>New</v>
      </c>
      <c r="N117">
        <f t="shared" si="3"/>
        <v>2025</v>
      </c>
    </row>
    <row r="118" spans="1:14" x14ac:dyDescent="0.25">
      <c r="A118" t="s">
        <v>256</v>
      </c>
      <c r="B118" t="s">
        <v>257</v>
      </c>
      <c r="C118" t="s">
        <v>10</v>
      </c>
      <c r="D118">
        <v>65</v>
      </c>
      <c r="E118" t="str" cm="1">
        <f t="array" ref="E118">_xlfn.IFS(D118 &lt; 26, "Gen Z", D118 &lt;= 41, "Millennials", D118 &lt;= 57, "Gen X", D118 &gt;= 58, "Boomers")</f>
        <v>Boomers</v>
      </c>
      <c r="F118" t="s">
        <v>11</v>
      </c>
      <c r="G118" t="s">
        <v>30</v>
      </c>
      <c r="H118">
        <v>94553</v>
      </c>
      <c r="I118" t="str" cm="1">
        <f t="array" ref="I118">_xlfn.IFS(H118 &lt; 30000, "Low", H118 &lt; 60000, "Medium", H118 &lt; 100000, "High", H118 &gt;= 100000, "Premium")</f>
        <v>High</v>
      </c>
      <c r="J118" t="s">
        <v>13</v>
      </c>
      <c r="K118" s="1">
        <v>45706</v>
      </c>
      <c r="L118">
        <f t="shared" ca="1" si="2"/>
        <v>1</v>
      </c>
      <c r="M118" t="str" cm="1">
        <f t="array" aca="1" ref="M118" ca="1">_xlfn.IFS( L118 &lt;=2, "New", L118&lt;=6, "Engaged", L118 &gt;6, "Loyal")</f>
        <v>New</v>
      </c>
      <c r="N118">
        <f t="shared" si="3"/>
        <v>2025</v>
      </c>
    </row>
    <row r="119" spans="1:14" x14ac:dyDescent="0.25">
      <c r="A119" t="s">
        <v>258</v>
      </c>
      <c r="B119" t="s">
        <v>259</v>
      </c>
      <c r="C119" t="s">
        <v>16</v>
      </c>
      <c r="D119">
        <v>42</v>
      </c>
      <c r="E119" t="str" cm="1">
        <f t="array" ref="E119">_xlfn.IFS(D119 &lt; 26, "Gen Z", D119 &lt;= 41, "Millennials", D119 &lt;= 57, "Gen X", D119 &gt;= 58, "Boomers")</f>
        <v>Gen X</v>
      </c>
      <c r="F119" t="s">
        <v>33</v>
      </c>
      <c r="G119" t="s">
        <v>26</v>
      </c>
      <c r="H119">
        <v>88344</v>
      </c>
      <c r="I119" t="str" cm="1">
        <f t="array" ref="I119">_xlfn.IFS(H119 &lt; 30000, "Low", H119 &lt; 60000, "Medium", H119 &lt; 100000, "High", H119 &gt;= 100000, "Premium")</f>
        <v>High</v>
      </c>
      <c r="J119" t="s">
        <v>13</v>
      </c>
      <c r="K119" s="1">
        <v>45720</v>
      </c>
      <c r="L119">
        <f t="shared" ca="1" si="2"/>
        <v>1</v>
      </c>
      <c r="M119" t="str" cm="1">
        <f t="array" aca="1" ref="M119" ca="1">_xlfn.IFS( L119 &lt;=2, "New", L119&lt;=6, "Engaged", L119 &gt;6, "Loyal")</f>
        <v>New</v>
      </c>
      <c r="N119">
        <f t="shared" si="3"/>
        <v>2025</v>
      </c>
    </row>
    <row r="120" spans="1:14" x14ac:dyDescent="0.25">
      <c r="A120" t="s">
        <v>260</v>
      </c>
      <c r="B120" t="s">
        <v>261</v>
      </c>
      <c r="C120" t="s">
        <v>16</v>
      </c>
      <c r="D120">
        <v>57</v>
      </c>
      <c r="E120" t="str" cm="1">
        <f t="array" ref="E120">_xlfn.IFS(D120 &lt; 26, "Gen Z", D120 &lt;= 41, "Millennials", D120 &lt;= 57, "Gen X", D120 &gt;= 58, "Boomers")</f>
        <v>Gen X</v>
      </c>
      <c r="F120" t="s">
        <v>17</v>
      </c>
      <c r="G120" t="s">
        <v>36</v>
      </c>
      <c r="H120">
        <v>69138</v>
      </c>
      <c r="I120" t="str" cm="1">
        <f t="array" ref="I120">_xlfn.IFS(H120 &lt; 30000, "Low", H120 &lt; 60000, "Medium", H120 &lt; 100000, "High", H120 &gt;= 100000, "Premium")</f>
        <v>High</v>
      </c>
      <c r="J120" t="s">
        <v>19</v>
      </c>
      <c r="K120" s="1">
        <v>43821</v>
      </c>
      <c r="L120">
        <f t="shared" ca="1" si="2"/>
        <v>6</v>
      </c>
      <c r="M120" t="str" cm="1">
        <f t="array" aca="1" ref="M120" ca="1">_xlfn.IFS( L120 &lt;=2, "New", L120&lt;=6, "Engaged", L120 &gt;6, "Loyal")</f>
        <v>Engaged</v>
      </c>
      <c r="N120">
        <f t="shared" si="3"/>
        <v>2019</v>
      </c>
    </row>
    <row r="121" spans="1:14" x14ac:dyDescent="0.25">
      <c r="A121" t="s">
        <v>262</v>
      </c>
      <c r="B121" t="s">
        <v>263</v>
      </c>
      <c r="C121" t="s">
        <v>10</v>
      </c>
      <c r="D121">
        <v>62</v>
      </c>
      <c r="E121" t="str" cm="1">
        <f t="array" ref="E121">_xlfn.IFS(D121 &lt; 26, "Gen Z", D121 &lt;= 41, "Millennials", D121 &lt;= 57, "Gen X", D121 &gt;= 58, "Boomers")</f>
        <v>Boomers</v>
      </c>
      <c r="F121" t="s">
        <v>17</v>
      </c>
      <c r="G121" t="s">
        <v>26</v>
      </c>
      <c r="H121">
        <v>67638</v>
      </c>
      <c r="I121" t="str" cm="1">
        <f t="array" ref="I121">_xlfn.IFS(H121 &lt; 30000, "Low", H121 &lt; 60000, "Medium", H121 &lt; 100000, "High", H121 &gt;= 100000, "Premium")</f>
        <v>High</v>
      </c>
      <c r="J121" t="s">
        <v>13</v>
      </c>
      <c r="K121" s="1">
        <v>43555</v>
      </c>
      <c r="L121">
        <f t="shared" ca="1" si="2"/>
        <v>7</v>
      </c>
      <c r="M121" t="str" cm="1">
        <f t="array" aca="1" ref="M121" ca="1">_xlfn.IFS( L121 &lt;=2, "New", L121&lt;=6, "Engaged", L121 &gt;6, "Loyal")</f>
        <v>Loyal</v>
      </c>
      <c r="N121">
        <f t="shared" si="3"/>
        <v>2019</v>
      </c>
    </row>
    <row r="122" spans="1:14" x14ac:dyDescent="0.25">
      <c r="A122" t="s">
        <v>264</v>
      </c>
      <c r="B122" t="s">
        <v>265</v>
      </c>
      <c r="C122" t="s">
        <v>16</v>
      </c>
      <c r="D122">
        <v>70</v>
      </c>
      <c r="E122" t="str" cm="1">
        <f t="array" ref="E122">_xlfn.IFS(D122 &lt; 26, "Gen Z", D122 &lt;= 41, "Millennials", D122 &lt;= 57, "Gen X", D122 &gt;= 58, "Boomers")</f>
        <v>Boomers</v>
      </c>
      <c r="F122" t="s">
        <v>11</v>
      </c>
      <c r="G122" t="s">
        <v>26</v>
      </c>
      <c r="H122">
        <v>98249</v>
      </c>
      <c r="I122" t="str" cm="1">
        <f t="array" ref="I122">_xlfn.IFS(H122 &lt; 30000, "Low", H122 &lt; 60000, "Medium", H122 &lt; 100000, "High", H122 &gt;= 100000, "Premium")</f>
        <v>High</v>
      </c>
      <c r="J122" t="s">
        <v>19</v>
      </c>
      <c r="K122" s="1">
        <v>45094</v>
      </c>
      <c r="L122">
        <f t="shared" ca="1" si="2"/>
        <v>2</v>
      </c>
      <c r="M122" t="str" cm="1">
        <f t="array" aca="1" ref="M122" ca="1">_xlfn.IFS( L122 &lt;=2, "New", L122&lt;=6, "Engaged", L122 &gt;6, "Loyal")</f>
        <v>New</v>
      </c>
      <c r="N122">
        <f t="shared" si="3"/>
        <v>2023</v>
      </c>
    </row>
    <row r="123" spans="1:14" x14ac:dyDescent="0.25">
      <c r="A123" t="s">
        <v>266</v>
      </c>
      <c r="B123" t="s">
        <v>267</v>
      </c>
      <c r="C123" t="s">
        <v>10</v>
      </c>
      <c r="D123">
        <v>18</v>
      </c>
      <c r="E123" t="str" cm="1">
        <f t="array" ref="E123">_xlfn.IFS(D123 &lt; 26, "Gen Z", D123 &lt;= 41, "Millennials", D123 &lt;= 57, "Gen X", D123 &gt;= 58, "Boomers")</f>
        <v>Gen Z</v>
      </c>
      <c r="F123" t="s">
        <v>11</v>
      </c>
      <c r="G123" t="s">
        <v>30</v>
      </c>
      <c r="H123">
        <v>125865</v>
      </c>
      <c r="I123" t="str" cm="1">
        <f t="array" ref="I123">_xlfn.IFS(H123 &lt; 30000, "Low", H123 &lt; 60000, "Medium", H123 &lt; 100000, "High", H123 &gt;= 100000, "Premium")</f>
        <v>Premium</v>
      </c>
      <c r="J123" t="s">
        <v>23</v>
      </c>
      <c r="K123" s="1">
        <v>42270</v>
      </c>
      <c r="L123">
        <f t="shared" ca="1" si="2"/>
        <v>10</v>
      </c>
      <c r="M123" t="str" cm="1">
        <f t="array" aca="1" ref="M123" ca="1">_xlfn.IFS( L123 &lt;=2, "New", L123&lt;=6, "Engaged", L123 &gt;6, "Loyal")</f>
        <v>Loyal</v>
      </c>
      <c r="N123">
        <f t="shared" si="3"/>
        <v>2015</v>
      </c>
    </row>
    <row r="124" spans="1:14" x14ac:dyDescent="0.25">
      <c r="A124" t="s">
        <v>268</v>
      </c>
      <c r="B124" t="s">
        <v>269</v>
      </c>
      <c r="C124" t="s">
        <v>16</v>
      </c>
      <c r="D124">
        <v>33</v>
      </c>
      <c r="E124" t="str" cm="1">
        <f t="array" ref="E124">_xlfn.IFS(D124 &lt; 26, "Gen Z", D124 &lt;= 41, "Millennials", D124 &lt;= 57, "Gen X", D124 &gt;= 58, "Boomers")</f>
        <v>Millennials</v>
      </c>
      <c r="F124" t="s">
        <v>33</v>
      </c>
      <c r="G124" t="s">
        <v>12</v>
      </c>
      <c r="H124">
        <v>22719</v>
      </c>
      <c r="I124" t="str" cm="1">
        <f t="array" ref="I124">_xlfn.IFS(H124 &lt; 30000, "Low", H124 &lt; 60000, "Medium", H124 &lt; 100000, "High", H124 &gt;= 100000, "Premium")</f>
        <v>Low</v>
      </c>
      <c r="J124" t="s">
        <v>13</v>
      </c>
      <c r="K124" s="1">
        <v>42921</v>
      </c>
      <c r="L124">
        <f t="shared" ca="1" si="2"/>
        <v>8</v>
      </c>
      <c r="M124" t="str" cm="1">
        <f t="array" aca="1" ref="M124" ca="1">_xlfn.IFS( L124 &lt;=2, "New", L124&lt;=6, "Engaged", L124 &gt;6, "Loyal")</f>
        <v>Loyal</v>
      </c>
      <c r="N124">
        <f t="shared" si="3"/>
        <v>2017</v>
      </c>
    </row>
    <row r="125" spans="1:14" x14ac:dyDescent="0.25">
      <c r="A125" t="s">
        <v>270</v>
      </c>
      <c r="B125" t="s">
        <v>271</v>
      </c>
      <c r="C125" t="s">
        <v>10</v>
      </c>
      <c r="D125">
        <v>56</v>
      </c>
      <c r="E125" t="str" cm="1">
        <f t="array" ref="E125">_xlfn.IFS(D125 &lt; 26, "Gen Z", D125 &lt;= 41, "Millennials", D125 &lt;= 57, "Gen X", D125 &gt;= 58, "Boomers")</f>
        <v>Gen X</v>
      </c>
      <c r="F125" t="s">
        <v>29</v>
      </c>
      <c r="G125" t="s">
        <v>22</v>
      </c>
      <c r="H125">
        <v>173962</v>
      </c>
      <c r="I125" t="str" cm="1">
        <f t="array" ref="I125">_xlfn.IFS(H125 &lt; 30000, "Low", H125 &lt; 60000, "Medium", H125 &lt; 100000, "High", H125 &gt;= 100000, "Premium")</f>
        <v>Premium</v>
      </c>
      <c r="J125" t="s">
        <v>13</v>
      </c>
      <c r="K125" s="1">
        <v>44752</v>
      </c>
      <c r="L125">
        <f t="shared" ca="1" si="2"/>
        <v>3</v>
      </c>
      <c r="M125" t="str" cm="1">
        <f t="array" aca="1" ref="M125" ca="1">_xlfn.IFS( L125 &lt;=2, "New", L125&lt;=6, "Engaged", L125 &gt;6, "Loyal")</f>
        <v>Engaged</v>
      </c>
      <c r="N125">
        <f t="shared" si="3"/>
        <v>2022</v>
      </c>
    </row>
    <row r="126" spans="1:14" x14ac:dyDescent="0.25">
      <c r="A126" t="s">
        <v>272</v>
      </c>
      <c r="B126" t="s">
        <v>273</v>
      </c>
      <c r="C126" t="s">
        <v>10</v>
      </c>
      <c r="D126">
        <v>22</v>
      </c>
      <c r="E126" t="str" cm="1">
        <f t="array" ref="E126">_xlfn.IFS(D126 &lt; 26, "Gen Z", D126 &lt;= 41, "Millennials", D126 &lt;= 57, "Gen X", D126 &gt;= 58, "Boomers")</f>
        <v>Gen Z</v>
      </c>
      <c r="F126" t="s">
        <v>33</v>
      </c>
      <c r="G126" t="s">
        <v>36</v>
      </c>
      <c r="H126">
        <v>187581</v>
      </c>
      <c r="I126" t="str" cm="1">
        <f t="array" ref="I126">_xlfn.IFS(H126 &lt; 30000, "Low", H126 &lt; 60000, "Medium", H126 &lt; 100000, "High", H126 &gt;= 100000, "Premium")</f>
        <v>Premium</v>
      </c>
      <c r="J126" t="s">
        <v>19</v>
      </c>
      <c r="K126" s="1">
        <v>42754</v>
      </c>
      <c r="L126">
        <f t="shared" ca="1" si="2"/>
        <v>9</v>
      </c>
      <c r="M126" t="str" cm="1">
        <f t="array" aca="1" ref="M126" ca="1">_xlfn.IFS( L126 &lt;=2, "New", L126&lt;=6, "Engaged", L126 &gt;6, "Loyal")</f>
        <v>Loyal</v>
      </c>
      <c r="N126">
        <f t="shared" si="3"/>
        <v>2017</v>
      </c>
    </row>
    <row r="127" spans="1:14" x14ac:dyDescent="0.25">
      <c r="A127" t="s">
        <v>274</v>
      </c>
      <c r="B127" t="s">
        <v>275</v>
      </c>
      <c r="C127" t="s">
        <v>16</v>
      </c>
      <c r="D127">
        <v>39</v>
      </c>
      <c r="E127" t="str" cm="1">
        <f t="array" ref="E127">_xlfn.IFS(D127 &lt; 26, "Gen Z", D127 &lt;= 41, "Millennials", D127 &lt;= 57, "Gen X", D127 &gt;= 58, "Boomers")</f>
        <v>Millennials</v>
      </c>
      <c r="F127" t="s">
        <v>11</v>
      </c>
      <c r="G127" t="s">
        <v>30</v>
      </c>
      <c r="H127">
        <v>62534</v>
      </c>
      <c r="I127" t="str" cm="1">
        <f t="array" ref="I127">_xlfn.IFS(H127 &lt; 30000, "Low", H127 &lt; 60000, "Medium", H127 &lt; 100000, "High", H127 &gt;= 100000, "Premium")</f>
        <v>High</v>
      </c>
      <c r="J127" t="s">
        <v>13</v>
      </c>
      <c r="K127" s="1">
        <v>43891</v>
      </c>
      <c r="L127">
        <f t="shared" ca="1" si="2"/>
        <v>6</v>
      </c>
      <c r="M127" t="str" cm="1">
        <f t="array" aca="1" ref="M127" ca="1">_xlfn.IFS( L127 &lt;=2, "New", L127&lt;=6, "Engaged", L127 &gt;6, "Loyal")</f>
        <v>Engaged</v>
      </c>
      <c r="N127">
        <f t="shared" si="3"/>
        <v>2020</v>
      </c>
    </row>
    <row r="128" spans="1:14" x14ac:dyDescent="0.25">
      <c r="A128" t="s">
        <v>276</v>
      </c>
      <c r="B128" t="s">
        <v>277</v>
      </c>
      <c r="C128" t="s">
        <v>16</v>
      </c>
      <c r="D128">
        <v>46</v>
      </c>
      <c r="E128" t="str" cm="1">
        <f t="array" ref="E128">_xlfn.IFS(D128 &lt; 26, "Gen Z", D128 &lt;= 41, "Millennials", D128 &lt;= 57, "Gen X", D128 &gt;= 58, "Boomers")</f>
        <v>Gen X</v>
      </c>
      <c r="F128" t="s">
        <v>33</v>
      </c>
      <c r="G128" t="s">
        <v>12</v>
      </c>
      <c r="H128">
        <v>112241</v>
      </c>
      <c r="I128" t="str" cm="1">
        <f t="array" ref="I128">_xlfn.IFS(H128 &lt; 30000, "Low", H128 &lt; 60000, "Medium", H128 &lt; 100000, "High", H128 &gt;= 100000, "Premium")</f>
        <v>Premium</v>
      </c>
      <c r="J128" t="s">
        <v>19</v>
      </c>
      <c r="K128" s="1">
        <v>42374</v>
      </c>
      <c r="L128">
        <f t="shared" ca="1" si="2"/>
        <v>10</v>
      </c>
      <c r="M128" t="str" cm="1">
        <f t="array" aca="1" ref="M128" ca="1">_xlfn.IFS( L128 &lt;=2, "New", L128&lt;=6, "Engaged", L128 &gt;6, "Loyal")</f>
        <v>Loyal</v>
      </c>
      <c r="N128">
        <f t="shared" si="3"/>
        <v>2016</v>
      </c>
    </row>
    <row r="129" spans="1:14" x14ac:dyDescent="0.25">
      <c r="A129" t="s">
        <v>278</v>
      </c>
      <c r="B129" t="s">
        <v>279</v>
      </c>
      <c r="C129" t="s">
        <v>10</v>
      </c>
      <c r="D129">
        <v>72</v>
      </c>
      <c r="E129" t="str" cm="1">
        <f t="array" ref="E129">_xlfn.IFS(D129 &lt; 26, "Gen Z", D129 &lt;= 41, "Millennials", D129 &lt;= 57, "Gen X", D129 &gt;= 58, "Boomers")</f>
        <v>Boomers</v>
      </c>
      <c r="F129" t="s">
        <v>11</v>
      </c>
      <c r="G129" t="s">
        <v>41</v>
      </c>
      <c r="H129">
        <v>169859</v>
      </c>
      <c r="I129" t="str" cm="1">
        <f t="array" ref="I129">_xlfn.IFS(H129 &lt; 30000, "Low", H129 &lt; 60000, "Medium", H129 &lt; 100000, "High", H129 &gt;= 100000, "Premium")</f>
        <v>Premium</v>
      </c>
      <c r="J129" t="s">
        <v>13</v>
      </c>
      <c r="K129" s="1">
        <v>45039</v>
      </c>
      <c r="L129">
        <f t="shared" ca="1" si="2"/>
        <v>3</v>
      </c>
      <c r="M129" t="str" cm="1">
        <f t="array" aca="1" ref="M129" ca="1">_xlfn.IFS( L129 &lt;=2, "New", L129&lt;=6, "Engaged", L129 &gt;6, "Loyal")</f>
        <v>Engaged</v>
      </c>
      <c r="N129">
        <f t="shared" si="3"/>
        <v>2023</v>
      </c>
    </row>
    <row r="130" spans="1:14" x14ac:dyDescent="0.25">
      <c r="A130" t="s">
        <v>280</v>
      </c>
      <c r="B130" t="s">
        <v>281</v>
      </c>
      <c r="C130" t="s">
        <v>16</v>
      </c>
      <c r="D130">
        <v>20</v>
      </c>
      <c r="E130" t="str" cm="1">
        <f t="array" ref="E130">_xlfn.IFS(D130 &lt; 26, "Gen Z", D130 &lt;= 41, "Millennials", D130 &lt;= 57, "Gen X", D130 &gt;= 58, "Boomers")</f>
        <v>Gen Z</v>
      </c>
      <c r="F130" t="s">
        <v>33</v>
      </c>
      <c r="G130" t="s">
        <v>22</v>
      </c>
      <c r="H130">
        <v>146209</v>
      </c>
      <c r="I130" t="str" cm="1">
        <f t="array" ref="I130">_xlfn.IFS(H130 &lt; 30000, "Low", H130 &lt; 60000, "Medium", H130 &lt; 100000, "High", H130 &gt;= 100000, "Premium")</f>
        <v>Premium</v>
      </c>
      <c r="J130" t="s">
        <v>19</v>
      </c>
      <c r="K130" s="1">
        <v>43517</v>
      </c>
      <c r="L130">
        <f t="shared" ref="L130:L193" ca="1" si="4">DATEDIF(K130, TODAY(), "Y")</f>
        <v>7</v>
      </c>
      <c r="M130" t="str" cm="1">
        <f t="array" aca="1" ref="M130" ca="1">_xlfn.IFS( L130 &lt;=2, "New", L130&lt;=6, "Engaged", L130 &gt;6, "Loyal")</f>
        <v>Loyal</v>
      </c>
      <c r="N130">
        <f t="shared" ref="N130:N193" si="5">YEAR(K130)</f>
        <v>2019</v>
      </c>
    </row>
    <row r="131" spans="1:14" x14ac:dyDescent="0.25">
      <c r="A131" t="s">
        <v>282</v>
      </c>
      <c r="B131" t="s">
        <v>283</v>
      </c>
      <c r="C131" t="s">
        <v>16</v>
      </c>
      <c r="D131">
        <v>29</v>
      </c>
      <c r="E131" t="str" cm="1">
        <f t="array" ref="E131">_xlfn.IFS(D131 &lt; 26, "Gen Z", D131 &lt;= 41, "Millennials", D131 &lt;= 57, "Gen X", D131 &gt;= 58, "Boomers")</f>
        <v>Millennials</v>
      </c>
      <c r="F131" t="s">
        <v>11</v>
      </c>
      <c r="G131" t="s">
        <v>22</v>
      </c>
      <c r="H131">
        <v>199917</v>
      </c>
      <c r="I131" t="str" cm="1">
        <f t="array" ref="I131">_xlfn.IFS(H131 &lt; 30000, "Low", H131 &lt; 60000, "Medium", H131 &lt; 100000, "High", H131 &gt;= 100000, "Premium")</f>
        <v>Premium</v>
      </c>
      <c r="J131" t="s">
        <v>13</v>
      </c>
      <c r="K131" s="1">
        <v>45498</v>
      </c>
      <c r="L131">
        <f t="shared" ca="1" si="4"/>
        <v>1</v>
      </c>
      <c r="M131" t="str" cm="1">
        <f t="array" aca="1" ref="M131" ca="1">_xlfn.IFS( L131 &lt;=2, "New", L131&lt;=6, "Engaged", L131 &gt;6, "Loyal")</f>
        <v>New</v>
      </c>
      <c r="N131">
        <f t="shared" si="5"/>
        <v>2024</v>
      </c>
    </row>
    <row r="132" spans="1:14" x14ac:dyDescent="0.25">
      <c r="A132" t="s">
        <v>284</v>
      </c>
      <c r="B132" t="s">
        <v>285</v>
      </c>
      <c r="C132" t="s">
        <v>16</v>
      </c>
      <c r="D132">
        <v>43</v>
      </c>
      <c r="E132" t="str" cm="1">
        <f t="array" ref="E132">_xlfn.IFS(D132 &lt; 26, "Gen Z", D132 &lt;= 41, "Millennials", D132 &lt;= 57, "Gen X", D132 &gt;= 58, "Boomers")</f>
        <v>Gen X</v>
      </c>
      <c r="F132" t="s">
        <v>11</v>
      </c>
      <c r="G132" t="s">
        <v>30</v>
      </c>
      <c r="H132">
        <v>112124</v>
      </c>
      <c r="I132" t="str" cm="1">
        <f t="array" ref="I132">_xlfn.IFS(H132 &lt; 30000, "Low", H132 &lt; 60000, "Medium", H132 &lt; 100000, "High", H132 &gt;= 100000, "Premium")</f>
        <v>Premium</v>
      </c>
      <c r="J132" t="s">
        <v>19</v>
      </c>
      <c r="K132" s="1">
        <v>43955</v>
      </c>
      <c r="L132">
        <f t="shared" ca="1" si="4"/>
        <v>5</v>
      </c>
      <c r="M132" t="str" cm="1">
        <f t="array" aca="1" ref="M132" ca="1">_xlfn.IFS( L132 &lt;=2, "New", L132&lt;=6, "Engaged", L132 &gt;6, "Loyal")</f>
        <v>Engaged</v>
      </c>
      <c r="N132">
        <f t="shared" si="5"/>
        <v>2020</v>
      </c>
    </row>
    <row r="133" spans="1:14" x14ac:dyDescent="0.25">
      <c r="A133" t="s">
        <v>286</v>
      </c>
      <c r="B133" t="s">
        <v>287</v>
      </c>
      <c r="C133" t="s">
        <v>10</v>
      </c>
      <c r="D133">
        <v>33</v>
      </c>
      <c r="E133" t="str" cm="1">
        <f t="array" ref="E133">_xlfn.IFS(D133 &lt; 26, "Gen Z", D133 &lt;= 41, "Millennials", D133 &lt;= 57, "Gen X", D133 &gt;= 58, "Boomers")</f>
        <v>Millennials</v>
      </c>
      <c r="F133" t="s">
        <v>11</v>
      </c>
      <c r="G133" t="s">
        <v>18</v>
      </c>
      <c r="H133">
        <v>111659</v>
      </c>
      <c r="I133" t="str" cm="1">
        <f t="array" ref="I133">_xlfn.IFS(H133 &lt; 30000, "Low", H133 &lt; 60000, "Medium", H133 &lt; 100000, "High", H133 &gt;= 100000, "Premium")</f>
        <v>Premium</v>
      </c>
      <c r="J133" t="s">
        <v>13</v>
      </c>
      <c r="K133" s="1">
        <v>43143</v>
      </c>
      <c r="L133">
        <f t="shared" ca="1" si="4"/>
        <v>8</v>
      </c>
      <c r="M133" t="str" cm="1">
        <f t="array" aca="1" ref="M133" ca="1">_xlfn.IFS( L133 &lt;=2, "New", L133&lt;=6, "Engaged", L133 &gt;6, "Loyal")</f>
        <v>Loyal</v>
      </c>
      <c r="N133">
        <f t="shared" si="5"/>
        <v>2018</v>
      </c>
    </row>
    <row r="134" spans="1:14" x14ac:dyDescent="0.25">
      <c r="A134" t="s">
        <v>288</v>
      </c>
      <c r="B134" t="s">
        <v>289</v>
      </c>
      <c r="C134" t="s">
        <v>10</v>
      </c>
      <c r="D134">
        <v>68</v>
      </c>
      <c r="E134" t="str" cm="1">
        <f t="array" ref="E134">_xlfn.IFS(D134 &lt; 26, "Gen Z", D134 &lt;= 41, "Millennials", D134 &lt;= 57, "Gen X", D134 &gt;= 58, "Boomers")</f>
        <v>Boomers</v>
      </c>
      <c r="F134" t="s">
        <v>29</v>
      </c>
      <c r="G134" t="s">
        <v>36</v>
      </c>
      <c r="H134">
        <v>184134</v>
      </c>
      <c r="I134" t="str" cm="1">
        <f t="array" ref="I134">_xlfn.IFS(H134 &lt; 30000, "Low", H134 &lt; 60000, "Medium", H134 &lt; 100000, "High", H134 &gt;= 100000, "Premium")</f>
        <v>Premium</v>
      </c>
      <c r="J134" t="s">
        <v>13</v>
      </c>
      <c r="K134" s="1">
        <v>44454</v>
      </c>
      <c r="L134">
        <f t="shared" ca="1" si="4"/>
        <v>4</v>
      </c>
      <c r="M134" t="str" cm="1">
        <f t="array" aca="1" ref="M134" ca="1">_xlfn.IFS( L134 &lt;=2, "New", L134&lt;=6, "Engaged", L134 &gt;6, "Loyal")</f>
        <v>Engaged</v>
      </c>
      <c r="N134">
        <f t="shared" si="5"/>
        <v>2021</v>
      </c>
    </row>
    <row r="135" spans="1:14" x14ac:dyDescent="0.25">
      <c r="A135" t="s">
        <v>290</v>
      </c>
      <c r="B135" t="s">
        <v>291</v>
      </c>
      <c r="C135" t="s">
        <v>10</v>
      </c>
      <c r="D135">
        <v>54</v>
      </c>
      <c r="E135" t="str" cm="1">
        <f t="array" ref="E135">_xlfn.IFS(D135 &lt; 26, "Gen Z", D135 &lt;= 41, "Millennials", D135 &lt;= 57, "Gen X", D135 &gt;= 58, "Boomers")</f>
        <v>Gen X</v>
      </c>
      <c r="F135" t="s">
        <v>33</v>
      </c>
      <c r="G135" t="s">
        <v>22</v>
      </c>
      <c r="H135">
        <v>95713</v>
      </c>
      <c r="I135" t="str" cm="1">
        <f t="array" ref="I135">_xlfn.IFS(H135 &lt; 30000, "Low", H135 &lt; 60000, "Medium", H135 &lt; 100000, "High", H135 &gt;= 100000, "Premium")</f>
        <v>High</v>
      </c>
      <c r="J135" t="s">
        <v>13</v>
      </c>
      <c r="K135" s="1">
        <v>43302</v>
      </c>
      <c r="L135">
        <f t="shared" ca="1" si="4"/>
        <v>7</v>
      </c>
      <c r="M135" t="str" cm="1">
        <f t="array" aca="1" ref="M135" ca="1">_xlfn.IFS( L135 &lt;=2, "New", L135&lt;=6, "Engaged", L135 &gt;6, "Loyal")</f>
        <v>Loyal</v>
      </c>
      <c r="N135">
        <f t="shared" si="5"/>
        <v>2018</v>
      </c>
    </row>
    <row r="136" spans="1:14" x14ac:dyDescent="0.25">
      <c r="A136" t="s">
        <v>292</v>
      </c>
      <c r="B136" t="s">
        <v>293</v>
      </c>
      <c r="C136" t="s">
        <v>10</v>
      </c>
      <c r="D136">
        <v>39</v>
      </c>
      <c r="E136" t="str" cm="1">
        <f t="array" ref="E136">_xlfn.IFS(D136 &lt; 26, "Gen Z", D136 &lt;= 41, "Millennials", D136 &lt;= 57, "Gen X", D136 &gt;= 58, "Boomers")</f>
        <v>Millennials</v>
      </c>
      <c r="F136" t="s">
        <v>33</v>
      </c>
      <c r="G136" t="s">
        <v>30</v>
      </c>
      <c r="H136">
        <v>95418</v>
      </c>
      <c r="I136" t="str" cm="1">
        <f t="array" ref="I136">_xlfn.IFS(H136 &lt; 30000, "Low", H136 &lt; 60000, "Medium", H136 &lt; 100000, "High", H136 &gt;= 100000, "Premium")</f>
        <v>High</v>
      </c>
      <c r="J136" t="s">
        <v>19</v>
      </c>
      <c r="K136" s="1">
        <v>43262</v>
      </c>
      <c r="L136">
        <f t="shared" ca="1" si="4"/>
        <v>7</v>
      </c>
      <c r="M136" t="str" cm="1">
        <f t="array" aca="1" ref="M136" ca="1">_xlfn.IFS( L136 &lt;=2, "New", L136&lt;=6, "Engaged", L136 &gt;6, "Loyal")</f>
        <v>Loyal</v>
      </c>
      <c r="N136">
        <f t="shared" si="5"/>
        <v>2018</v>
      </c>
    </row>
    <row r="137" spans="1:14" x14ac:dyDescent="0.25">
      <c r="A137" t="s">
        <v>294</v>
      </c>
      <c r="B137" t="s">
        <v>295</v>
      </c>
      <c r="C137" t="s">
        <v>10</v>
      </c>
      <c r="D137">
        <v>74</v>
      </c>
      <c r="E137" t="str" cm="1">
        <f t="array" ref="E137">_xlfn.IFS(D137 &lt; 26, "Gen Z", D137 &lt;= 41, "Millennials", D137 &lt;= 57, "Gen X", D137 &gt;= 58, "Boomers")</f>
        <v>Boomers</v>
      </c>
      <c r="F137" t="s">
        <v>33</v>
      </c>
      <c r="G137" t="s">
        <v>30</v>
      </c>
      <c r="H137">
        <v>148232</v>
      </c>
      <c r="I137" t="str" cm="1">
        <f t="array" ref="I137">_xlfn.IFS(H137 &lt; 30000, "Low", H137 &lt; 60000, "Medium", H137 &lt; 100000, "High", H137 &gt;= 100000, "Premium")</f>
        <v>Premium</v>
      </c>
      <c r="J137" t="s">
        <v>19</v>
      </c>
      <c r="K137" s="1">
        <v>45439</v>
      </c>
      <c r="L137">
        <f t="shared" ca="1" si="4"/>
        <v>1</v>
      </c>
      <c r="M137" t="str" cm="1">
        <f t="array" aca="1" ref="M137" ca="1">_xlfn.IFS( L137 &lt;=2, "New", L137&lt;=6, "Engaged", L137 &gt;6, "Loyal")</f>
        <v>New</v>
      </c>
      <c r="N137">
        <f t="shared" si="5"/>
        <v>2024</v>
      </c>
    </row>
    <row r="138" spans="1:14" x14ac:dyDescent="0.25">
      <c r="A138" t="s">
        <v>296</v>
      </c>
      <c r="B138" t="s">
        <v>297</v>
      </c>
      <c r="C138" t="s">
        <v>10</v>
      </c>
      <c r="D138">
        <v>46</v>
      </c>
      <c r="E138" t="str" cm="1">
        <f t="array" ref="E138">_xlfn.IFS(D138 &lt; 26, "Gen Z", D138 &lt;= 41, "Millennials", D138 &lt;= 57, "Gen X", D138 &gt;= 58, "Boomers")</f>
        <v>Gen X</v>
      </c>
      <c r="F138" t="s">
        <v>11</v>
      </c>
      <c r="G138" t="s">
        <v>12</v>
      </c>
      <c r="H138">
        <v>185904</v>
      </c>
      <c r="I138" t="str" cm="1">
        <f t="array" ref="I138">_xlfn.IFS(H138 &lt; 30000, "Low", H138 &lt; 60000, "Medium", H138 &lt; 100000, "High", H138 &gt;= 100000, "Premium")</f>
        <v>Premium</v>
      </c>
      <c r="J138" t="s">
        <v>13</v>
      </c>
      <c r="K138" s="1">
        <v>43594</v>
      </c>
      <c r="L138">
        <f t="shared" ca="1" si="4"/>
        <v>6</v>
      </c>
      <c r="M138" t="str" cm="1">
        <f t="array" aca="1" ref="M138" ca="1">_xlfn.IFS( L138 &lt;=2, "New", L138&lt;=6, "Engaged", L138 &gt;6, "Loyal")</f>
        <v>Engaged</v>
      </c>
      <c r="N138">
        <f t="shared" si="5"/>
        <v>2019</v>
      </c>
    </row>
    <row r="139" spans="1:14" x14ac:dyDescent="0.25">
      <c r="A139" t="s">
        <v>298</v>
      </c>
      <c r="B139" t="s">
        <v>299</v>
      </c>
      <c r="C139" t="s">
        <v>10</v>
      </c>
      <c r="D139">
        <v>31</v>
      </c>
      <c r="E139" t="str" cm="1">
        <f t="array" ref="E139">_xlfn.IFS(D139 &lt; 26, "Gen Z", D139 &lt;= 41, "Millennials", D139 &lt;= 57, "Gen X", D139 &gt;= 58, "Boomers")</f>
        <v>Millennials</v>
      </c>
      <c r="F139" t="s">
        <v>33</v>
      </c>
      <c r="G139" t="s">
        <v>41</v>
      </c>
      <c r="H139">
        <v>183038</v>
      </c>
      <c r="I139" t="str" cm="1">
        <f t="array" ref="I139">_xlfn.IFS(H139 &lt; 30000, "Low", H139 &lt; 60000, "Medium", H139 &lt; 100000, "High", H139 &gt;= 100000, "Premium")</f>
        <v>Premium</v>
      </c>
      <c r="J139" t="s">
        <v>13</v>
      </c>
      <c r="K139" s="1">
        <v>42817</v>
      </c>
      <c r="L139">
        <f t="shared" ca="1" si="4"/>
        <v>9</v>
      </c>
      <c r="M139" t="str" cm="1">
        <f t="array" aca="1" ref="M139" ca="1">_xlfn.IFS( L139 &lt;=2, "New", L139&lt;=6, "Engaged", L139 &gt;6, "Loyal")</f>
        <v>Loyal</v>
      </c>
      <c r="N139">
        <f t="shared" si="5"/>
        <v>2017</v>
      </c>
    </row>
    <row r="140" spans="1:14" x14ac:dyDescent="0.25">
      <c r="A140" t="s">
        <v>300</v>
      </c>
      <c r="B140" t="s">
        <v>301</v>
      </c>
      <c r="C140" t="s">
        <v>10</v>
      </c>
      <c r="D140">
        <v>45</v>
      </c>
      <c r="E140" t="str" cm="1">
        <f t="array" ref="E140">_xlfn.IFS(D140 &lt; 26, "Gen Z", D140 &lt;= 41, "Millennials", D140 &lt;= 57, "Gen X", D140 &gt;= 58, "Boomers")</f>
        <v>Gen X</v>
      </c>
      <c r="F140" t="s">
        <v>33</v>
      </c>
      <c r="G140" t="s">
        <v>18</v>
      </c>
      <c r="H140">
        <v>164059</v>
      </c>
      <c r="I140" t="str" cm="1">
        <f t="array" ref="I140">_xlfn.IFS(H140 &lt; 30000, "Low", H140 &lt; 60000, "Medium", H140 &lt; 100000, "High", H140 &gt;= 100000, "Premium")</f>
        <v>Premium</v>
      </c>
      <c r="J140" t="s">
        <v>13</v>
      </c>
      <c r="K140" s="1">
        <v>45619</v>
      </c>
      <c r="L140">
        <f t="shared" ca="1" si="4"/>
        <v>1</v>
      </c>
      <c r="M140" t="str" cm="1">
        <f t="array" aca="1" ref="M140" ca="1">_xlfn.IFS( L140 &lt;=2, "New", L140&lt;=6, "Engaged", L140 &gt;6, "Loyal")</f>
        <v>New</v>
      </c>
      <c r="N140">
        <f t="shared" si="5"/>
        <v>2024</v>
      </c>
    </row>
    <row r="141" spans="1:14" x14ac:dyDescent="0.25">
      <c r="A141" t="s">
        <v>302</v>
      </c>
      <c r="B141" t="s">
        <v>303</v>
      </c>
      <c r="C141" t="s">
        <v>10</v>
      </c>
      <c r="D141">
        <v>22</v>
      </c>
      <c r="E141" t="str" cm="1">
        <f t="array" ref="E141">_xlfn.IFS(D141 &lt; 26, "Gen Z", D141 &lt;= 41, "Millennials", D141 &lt;= 57, "Gen X", D141 &gt;= 58, "Boomers")</f>
        <v>Gen Z</v>
      </c>
      <c r="F141" t="s">
        <v>11</v>
      </c>
      <c r="G141" t="s">
        <v>36</v>
      </c>
      <c r="H141">
        <v>188383</v>
      </c>
      <c r="I141" t="str" cm="1">
        <f t="array" ref="I141">_xlfn.IFS(H141 &lt; 30000, "Low", H141 &lt; 60000, "Medium", H141 &lt; 100000, "High", H141 &gt;= 100000, "Premium")</f>
        <v>Premium</v>
      </c>
      <c r="J141" t="s">
        <v>19</v>
      </c>
      <c r="K141" s="1">
        <v>43371</v>
      </c>
      <c r="L141">
        <f t="shared" ca="1" si="4"/>
        <v>7</v>
      </c>
      <c r="M141" t="str" cm="1">
        <f t="array" aca="1" ref="M141" ca="1">_xlfn.IFS( L141 &lt;=2, "New", L141&lt;=6, "Engaged", L141 &gt;6, "Loyal")</f>
        <v>Loyal</v>
      </c>
      <c r="N141">
        <f t="shared" si="5"/>
        <v>2018</v>
      </c>
    </row>
    <row r="142" spans="1:14" x14ac:dyDescent="0.25">
      <c r="A142" t="s">
        <v>304</v>
      </c>
      <c r="B142" t="s">
        <v>305</v>
      </c>
      <c r="C142" t="s">
        <v>16</v>
      </c>
      <c r="D142">
        <v>64</v>
      </c>
      <c r="E142" t="str" cm="1">
        <f t="array" ref="E142">_xlfn.IFS(D142 &lt; 26, "Gen Z", D142 &lt;= 41, "Millennials", D142 &lt;= 57, "Gen X", D142 &gt;= 58, "Boomers")</f>
        <v>Boomers</v>
      </c>
      <c r="F142" t="s">
        <v>17</v>
      </c>
      <c r="G142" t="s">
        <v>26</v>
      </c>
      <c r="H142">
        <v>51575</v>
      </c>
      <c r="I142" t="str" cm="1">
        <f t="array" ref="I142">_xlfn.IFS(H142 &lt; 30000, "Low", H142 &lt; 60000, "Medium", H142 &lt; 100000, "High", H142 &gt;= 100000, "Premium")</f>
        <v>Medium</v>
      </c>
      <c r="J142" t="s">
        <v>19</v>
      </c>
      <c r="K142" s="1">
        <v>43326</v>
      </c>
      <c r="L142">
        <f t="shared" ca="1" si="4"/>
        <v>7</v>
      </c>
      <c r="M142" t="str" cm="1">
        <f t="array" aca="1" ref="M142" ca="1">_xlfn.IFS( L142 &lt;=2, "New", L142&lt;=6, "Engaged", L142 &gt;6, "Loyal")</f>
        <v>Loyal</v>
      </c>
      <c r="N142">
        <f t="shared" si="5"/>
        <v>2018</v>
      </c>
    </row>
    <row r="143" spans="1:14" x14ac:dyDescent="0.25">
      <c r="A143" t="s">
        <v>306</v>
      </c>
      <c r="B143" t="s">
        <v>307</v>
      </c>
      <c r="C143" t="s">
        <v>10</v>
      </c>
      <c r="D143">
        <v>66</v>
      </c>
      <c r="E143" t="str" cm="1">
        <f t="array" ref="E143">_xlfn.IFS(D143 &lt; 26, "Gen Z", D143 &lt;= 41, "Millennials", D143 &lt;= 57, "Gen X", D143 &gt;= 58, "Boomers")</f>
        <v>Boomers</v>
      </c>
      <c r="F143" t="s">
        <v>11</v>
      </c>
      <c r="G143" t="s">
        <v>41</v>
      </c>
      <c r="H143">
        <v>83852</v>
      </c>
      <c r="I143" t="str" cm="1">
        <f t="array" ref="I143">_xlfn.IFS(H143 &lt; 30000, "Low", H143 &lt; 60000, "Medium", H143 &lt; 100000, "High", H143 &gt;= 100000, "Premium")</f>
        <v>High</v>
      </c>
      <c r="J143" t="s">
        <v>13</v>
      </c>
      <c r="K143" s="1">
        <v>45560</v>
      </c>
      <c r="L143">
        <f t="shared" ca="1" si="4"/>
        <v>1</v>
      </c>
      <c r="M143" t="str" cm="1">
        <f t="array" aca="1" ref="M143" ca="1">_xlfn.IFS( L143 &lt;=2, "New", L143&lt;=6, "Engaged", L143 &gt;6, "Loyal")</f>
        <v>New</v>
      </c>
      <c r="N143">
        <f t="shared" si="5"/>
        <v>2024</v>
      </c>
    </row>
    <row r="144" spans="1:14" x14ac:dyDescent="0.25">
      <c r="A144" t="s">
        <v>308</v>
      </c>
      <c r="B144" t="s">
        <v>309</v>
      </c>
      <c r="C144" t="s">
        <v>16</v>
      </c>
      <c r="D144">
        <v>47</v>
      </c>
      <c r="E144" t="str" cm="1">
        <f t="array" ref="E144">_xlfn.IFS(D144 &lt; 26, "Gen Z", D144 &lt;= 41, "Millennials", D144 &lt;= 57, "Gen X", D144 &gt;= 58, "Boomers")</f>
        <v>Gen X</v>
      </c>
      <c r="F144" t="s">
        <v>33</v>
      </c>
      <c r="G144" t="s">
        <v>41</v>
      </c>
      <c r="H144">
        <v>152079</v>
      </c>
      <c r="I144" t="str" cm="1">
        <f t="array" ref="I144">_xlfn.IFS(H144 &lt; 30000, "Low", H144 &lt; 60000, "Medium", H144 &lt; 100000, "High", H144 &gt;= 100000, "Premium")</f>
        <v>Premium</v>
      </c>
      <c r="J144" t="s">
        <v>13</v>
      </c>
      <c r="K144" s="1">
        <v>44528</v>
      </c>
      <c r="L144">
        <f t="shared" ca="1" si="4"/>
        <v>4</v>
      </c>
      <c r="M144" t="str" cm="1">
        <f t="array" aca="1" ref="M144" ca="1">_xlfn.IFS( L144 &lt;=2, "New", L144&lt;=6, "Engaged", L144 &gt;6, "Loyal")</f>
        <v>Engaged</v>
      </c>
      <c r="N144">
        <f t="shared" si="5"/>
        <v>2021</v>
      </c>
    </row>
    <row r="145" spans="1:14" x14ac:dyDescent="0.25">
      <c r="A145" t="s">
        <v>310</v>
      </c>
      <c r="B145" t="s">
        <v>311</v>
      </c>
      <c r="C145" t="s">
        <v>16</v>
      </c>
      <c r="D145">
        <v>63</v>
      </c>
      <c r="E145" t="str" cm="1">
        <f t="array" ref="E145">_xlfn.IFS(D145 &lt; 26, "Gen Z", D145 &lt;= 41, "Millennials", D145 &lt;= 57, "Gen X", D145 &gt;= 58, "Boomers")</f>
        <v>Boomers</v>
      </c>
      <c r="F145" t="s">
        <v>11</v>
      </c>
      <c r="G145" t="s">
        <v>12</v>
      </c>
      <c r="H145">
        <v>96242</v>
      </c>
      <c r="I145" t="str" cm="1">
        <f t="array" ref="I145">_xlfn.IFS(H145 &lt; 30000, "Low", H145 &lt; 60000, "Medium", H145 &lt; 100000, "High", H145 &gt;= 100000, "Premium")</f>
        <v>High</v>
      </c>
      <c r="J145" t="s">
        <v>13</v>
      </c>
      <c r="K145" s="1">
        <v>43084</v>
      </c>
      <c r="L145">
        <f t="shared" ca="1" si="4"/>
        <v>8</v>
      </c>
      <c r="M145" t="str" cm="1">
        <f t="array" aca="1" ref="M145" ca="1">_xlfn.IFS( L145 &lt;=2, "New", L145&lt;=6, "Engaged", L145 &gt;6, "Loyal")</f>
        <v>Loyal</v>
      </c>
      <c r="N145">
        <f t="shared" si="5"/>
        <v>2017</v>
      </c>
    </row>
    <row r="146" spans="1:14" x14ac:dyDescent="0.25">
      <c r="A146" t="s">
        <v>312</v>
      </c>
      <c r="B146" t="s">
        <v>313</v>
      </c>
      <c r="C146" t="s">
        <v>16</v>
      </c>
      <c r="D146">
        <v>69</v>
      </c>
      <c r="E146" t="str" cm="1">
        <f t="array" ref="E146">_xlfn.IFS(D146 &lt; 26, "Gen Z", D146 &lt;= 41, "Millennials", D146 &lt;= 57, "Gen X", D146 &gt;= 58, "Boomers")</f>
        <v>Boomers</v>
      </c>
      <c r="F146" t="s">
        <v>17</v>
      </c>
      <c r="G146" t="s">
        <v>22</v>
      </c>
      <c r="H146">
        <v>198589</v>
      </c>
      <c r="I146" t="str" cm="1">
        <f t="array" ref="I146">_xlfn.IFS(H146 &lt; 30000, "Low", H146 &lt; 60000, "Medium", H146 &lt; 100000, "High", H146 &gt;= 100000, "Premium")</f>
        <v>Premium</v>
      </c>
      <c r="J146" t="s">
        <v>13</v>
      </c>
      <c r="K146" s="1">
        <v>43588</v>
      </c>
      <c r="L146">
        <f t="shared" ca="1" si="4"/>
        <v>6</v>
      </c>
      <c r="M146" t="str" cm="1">
        <f t="array" aca="1" ref="M146" ca="1">_xlfn.IFS( L146 &lt;=2, "New", L146&lt;=6, "Engaged", L146 &gt;6, "Loyal")</f>
        <v>Engaged</v>
      </c>
      <c r="N146">
        <f t="shared" si="5"/>
        <v>2019</v>
      </c>
    </row>
    <row r="147" spans="1:14" x14ac:dyDescent="0.25">
      <c r="A147" t="s">
        <v>314</v>
      </c>
      <c r="B147" t="s">
        <v>315</v>
      </c>
      <c r="C147" t="s">
        <v>10</v>
      </c>
      <c r="D147">
        <v>22</v>
      </c>
      <c r="E147" t="str" cm="1">
        <f t="array" ref="E147">_xlfn.IFS(D147 &lt; 26, "Gen Z", D147 &lt;= 41, "Millennials", D147 &lt;= 57, "Gen X", D147 &gt;= 58, "Boomers")</f>
        <v>Gen Z</v>
      </c>
      <c r="F147" t="s">
        <v>11</v>
      </c>
      <c r="G147" t="s">
        <v>22</v>
      </c>
      <c r="H147">
        <v>49257</v>
      </c>
      <c r="I147" t="str" cm="1">
        <f t="array" ref="I147">_xlfn.IFS(H147 &lt; 30000, "Low", H147 &lt; 60000, "Medium", H147 &lt; 100000, "High", H147 &gt;= 100000, "Premium")</f>
        <v>Medium</v>
      </c>
      <c r="J147" t="s">
        <v>13</v>
      </c>
      <c r="K147" s="1">
        <v>44029</v>
      </c>
      <c r="L147">
        <f t="shared" ca="1" si="4"/>
        <v>5</v>
      </c>
      <c r="M147" t="str" cm="1">
        <f t="array" aca="1" ref="M147" ca="1">_xlfn.IFS( L147 &lt;=2, "New", L147&lt;=6, "Engaged", L147 &gt;6, "Loyal")</f>
        <v>Engaged</v>
      </c>
      <c r="N147">
        <f t="shared" si="5"/>
        <v>2020</v>
      </c>
    </row>
    <row r="148" spans="1:14" x14ac:dyDescent="0.25">
      <c r="A148" t="s">
        <v>316</v>
      </c>
      <c r="B148" t="s">
        <v>317</v>
      </c>
      <c r="C148" t="s">
        <v>10</v>
      </c>
      <c r="D148">
        <v>29</v>
      </c>
      <c r="E148" t="str" cm="1">
        <f t="array" ref="E148">_xlfn.IFS(D148 &lt; 26, "Gen Z", D148 &lt;= 41, "Millennials", D148 &lt;= 57, "Gen X", D148 &gt;= 58, "Boomers")</f>
        <v>Millennials</v>
      </c>
      <c r="F148" t="s">
        <v>33</v>
      </c>
      <c r="G148" t="s">
        <v>12</v>
      </c>
      <c r="H148">
        <v>193279</v>
      </c>
      <c r="I148" t="str" cm="1">
        <f t="array" ref="I148">_xlfn.IFS(H148 &lt; 30000, "Low", H148 &lt; 60000, "Medium", H148 &lt; 100000, "High", H148 &gt;= 100000, "Premium")</f>
        <v>Premium</v>
      </c>
      <c r="J148" t="s">
        <v>23</v>
      </c>
      <c r="K148" s="1">
        <v>43888</v>
      </c>
      <c r="L148">
        <f t="shared" ca="1" si="4"/>
        <v>6</v>
      </c>
      <c r="M148" t="str" cm="1">
        <f t="array" aca="1" ref="M148" ca="1">_xlfn.IFS( L148 &lt;=2, "New", L148&lt;=6, "Engaged", L148 &gt;6, "Loyal")</f>
        <v>Engaged</v>
      </c>
      <c r="N148">
        <f t="shared" si="5"/>
        <v>2020</v>
      </c>
    </row>
    <row r="149" spans="1:14" x14ac:dyDescent="0.25">
      <c r="A149" t="s">
        <v>318</v>
      </c>
      <c r="B149" t="s">
        <v>319</v>
      </c>
      <c r="C149" t="s">
        <v>10</v>
      </c>
      <c r="D149">
        <v>33</v>
      </c>
      <c r="E149" t="str" cm="1">
        <f t="array" ref="E149">_xlfn.IFS(D149 &lt; 26, "Gen Z", D149 &lt;= 41, "Millennials", D149 &lt;= 57, "Gen X", D149 &gt;= 58, "Boomers")</f>
        <v>Millennials</v>
      </c>
      <c r="F149" t="s">
        <v>17</v>
      </c>
      <c r="G149" t="s">
        <v>30</v>
      </c>
      <c r="H149">
        <v>164353</v>
      </c>
      <c r="I149" t="str" cm="1">
        <f t="array" ref="I149">_xlfn.IFS(H149 &lt; 30000, "Low", H149 &lt; 60000, "Medium", H149 &lt; 100000, "High", H149 &gt;= 100000, "Premium")</f>
        <v>Premium</v>
      </c>
      <c r="J149" t="s">
        <v>13</v>
      </c>
      <c r="K149" s="1">
        <v>43337</v>
      </c>
      <c r="L149">
        <f t="shared" ca="1" si="4"/>
        <v>7</v>
      </c>
      <c r="M149" t="str" cm="1">
        <f t="array" aca="1" ref="M149" ca="1">_xlfn.IFS( L149 &lt;=2, "New", L149&lt;=6, "Engaged", L149 &gt;6, "Loyal")</f>
        <v>Loyal</v>
      </c>
      <c r="N149">
        <f t="shared" si="5"/>
        <v>2018</v>
      </c>
    </row>
    <row r="150" spans="1:14" x14ac:dyDescent="0.25">
      <c r="A150" t="s">
        <v>320</v>
      </c>
      <c r="B150" t="s">
        <v>321</v>
      </c>
      <c r="C150" t="s">
        <v>10</v>
      </c>
      <c r="D150">
        <v>43</v>
      </c>
      <c r="E150" t="str" cm="1">
        <f t="array" ref="E150">_xlfn.IFS(D150 &lt; 26, "Gen Z", D150 &lt;= 41, "Millennials", D150 &lt;= 57, "Gen X", D150 &gt;= 58, "Boomers")</f>
        <v>Gen X</v>
      </c>
      <c r="F150" t="s">
        <v>29</v>
      </c>
      <c r="G150" t="s">
        <v>22</v>
      </c>
      <c r="H150">
        <v>81246</v>
      </c>
      <c r="I150" t="str" cm="1">
        <f t="array" ref="I150">_xlfn.IFS(H150 &lt; 30000, "Low", H150 &lt; 60000, "Medium", H150 &lt; 100000, "High", H150 &gt;= 100000, "Premium")</f>
        <v>High</v>
      </c>
      <c r="J150" t="s">
        <v>19</v>
      </c>
      <c r="K150" s="1">
        <v>44893</v>
      </c>
      <c r="L150">
        <f t="shared" ca="1" si="4"/>
        <v>3</v>
      </c>
      <c r="M150" t="str" cm="1">
        <f t="array" aca="1" ref="M150" ca="1">_xlfn.IFS( L150 &lt;=2, "New", L150&lt;=6, "Engaged", L150 &gt;6, "Loyal")</f>
        <v>Engaged</v>
      </c>
      <c r="N150">
        <f t="shared" si="5"/>
        <v>2022</v>
      </c>
    </row>
    <row r="151" spans="1:14" x14ac:dyDescent="0.25">
      <c r="A151" t="s">
        <v>322</v>
      </c>
      <c r="B151" t="s">
        <v>323</v>
      </c>
      <c r="C151" t="s">
        <v>16</v>
      </c>
      <c r="D151">
        <v>43</v>
      </c>
      <c r="E151" t="str" cm="1">
        <f t="array" ref="E151">_xlfn.IFS(D151 &lt; 26, "Gen Z", D151 &lt;= 41, "Millennials", D151 &lt;= 57, "Gen X", D151 &gt;= 58, "Boomers")</f>
        <v>Gen X</v>
      </c>
      <c r="F151" t="s">
        <v>33</v>
      </c>
      <c r="G151" t="s">
        <v>18</v>
      </c>
      <c r="H151">
        <v>21435</v>
      </c>
      <c r="I151" t="str" cm="1">
        <f t="array" ref="I151">_xlfn.IFS(H151 &lt; 30000, "Low", H151 &lt; 60000, "Medium", H151 &lt; 100000, "High", H151 &gt;= 100000, "Premium")</f>
        <v>Low</v>
      </c>
      <c r="J151" t="s">
        <v>13</v>
      </c>
      <c r="K151" s="1">
        <v>44015</v>
      </c>
      <c r="L151">
        <f t="shared" ca="1" si="4"/>
        <v>5</v>
      </c>
      <c r="M151" t="str" cm="1">
        <f t="array" aca="1" ref="M151" ca="1">_xlfn.IFS( L151 &lt;=2, "New", L151&lt;=6, "Engaged", L151 &gt;6, "Loyal")</f>
        <v>Engaged</v>
      </c>
      <c r="N151">
        <f t="shared" si="5"/>
        <v>2020</v>
      </c>
    </row>
    <row r="152" spans="1:14" x14ac:dyDescent="0.25">
      <c r="A152" t="s">
        <v>324</v>
      </c>
      <c r="B152" t="s">
        <v>325</v>
      </c>
      <c r="C152" t="s">
        <v>10</v>
      </c>
      <c r="D152">
        <v>65</v>
      </c>
      <c r="E152" t="str" cm="1">
        <f t="array" ref="E152">_xlfn.IFS(D152 &lt; 26, "Gen Z", D152 &lt;= 41, "Millennials", D152 &lt;= 57, "Gen X", D152 &gt;= 58, "Boomers")</f>
        <v>Boomers</v>
      </c>
      <c r="F152" t="s">
        <v>17</v>
      </c>
      <c r="G152" t="s">
        <v>36</v>
      </c>
      <c r="H152">
        <v>111357</v>
      </c>
      <c r="I152" t="str" cm="1">
        <f t="array" ref="I152">_xlfn.IFS(H152 &lt; 30000, "Low", H152 &lt; 60000, "Medium", H152 &lt; 100000, "High", H152 &gt;= 100000, "Premium")</f>
        <v>Premium</v>
      </c>
      <c r="J152" t="s">
        <v>13</v>
      </c>
      <c r="K152" s="1">
        <v>43949</v>
      </c>
      <c r="L152">
        <f t="shared" ca="1" si="4"/>
        <v>5</v>
      </c>
      <c r="M152" t="str" cm="1">
        <f t="array" aca="1" ref="M152" ca="1">_xlfn.IFS( L152 &lt;=2, "New", L152&lt;=6, "Engaged", L152 &gt;6, "Loyal")</f>
        <v>Engaged</v>
      </c>
      <c r="N152">
        <f t="shared" si="5"/>
        <v>2020</v>
      </c>
    </row>
    <row r="153" spans="1:14" x14ac:dyDescent="0.25">
      <c r="A153" t="s">
        <v>326</v>
      </c>
      <c r="B153" t="s">
        <v>327</v>
      </c>
      <c r="C153" t="s">
        <v>10</v>
      </c>
      <c r="D153">
        <v>38</v>
      </c>
      <c r="E153" t="str" cm="1">
        <f t="array" ref="E153">_xlfn.IFS(D153 &lt; 26, "Gen Z", D153 &lt;= 41, "Millennials", D153 &lt;= 57, "Gen X", D153 &gt;= 58, "Boomers")</f>
        <v>Millennials</v>
      </c>
      <c r="F153" t="s">
        <v>17</v>
      </c>
      <c r="G153" t="s">
        <v>41</v>
      </c>
      <c r="H153">
        <v>177732</v>
      </c>
      <c r="I153" t="str" cm="1">
        <f t="array" ref="I153">_xlfn.IFS(H153 &lt; 30000, "Low", H153 &lt; 60000, "Medium", H153 &lt; 100000, "High", H153 &gt;= 100000, "Premium")</f>
        <v>Premium</v>
      </c>
      <c r="J153" t="s">
        <v>19</v>
      </c>
      <c r="K153" s="1">
        <v>43409</v>
      </c>
      <c r="L153">
        <f t="shared" ca="1" si="4"/>
        <v>7</v>
      </c>
      <c r="M153" t="str" cm="1">
        <f t="array" aca="1" ref="M153" ca="1">_xlfn.IFS( L153 &lt;=2, "New", L153&lt;=6, "Engaged", L153 &gt;6, "Loyal")</f>
        <v>Loyal</v>
      </c>
      <c r="N153">
        <f t="shared" si="5"/>
        <v>2018</v>
      </c>
    </row>
    <row r="154" spans="1:14" x14ac:dyDescent="0.25">
      <c r="A154" t="s">
        <v>328</v>
      </c>
      <c r="B154" t="s">
        <v>329</v>
      </c>
      <c r="C154" t="s">
        <v>10</v>
      </c>
      <c r="D154">
        <v>56</v>
      </c>
      <c r="E154" t="str" cm="1">
        <f t="array" ref="E154">_xlfn.IFS(D154 &lt; 26, "Gen Z", D154 &lt;= 41, "Millennials", D154 &lt;= 57, "Gen X", D154 &gt;= 58, "Boomers")</f>
        <v>Gen X</v>
      </c>
      <c r="F154" t="s">
        <v>29</v>
      </c>
      <c r="G154" t="s">
        <v>41</v>
      </c>
      <c r="H154">
        <v>156156</v>
      </c>
      <c r="I154" t="str" cm="1">
        <f t="array" ref="I154">_xlfn.IFS(H154 &lt; 30000, "Low", H154 &lt; 60000, "Medium", H154 &lt; 100000, "High", H154 &gt;= 100000, "Premium")</f>
        <v>Premium</v>
      </c>
      <c r="J154" t="s">
        <v>19</v>
      </c>
      <c r="K154" s="1">
        <v>42365</v>
      </c>
      <c r="L154">
        <f t="shared" ca="1" si="4"/>
        <v>10</v>
      </c>
      <c r="M154" t="str" cm="1">
        <f t="array" aca="1" ref="M154" ca="1">_xlfn.IFS( L154 &lt;=2, "New", L154&lt;=6, "Engaged", L154 &gt;6, "Loyal")</f>
        <v>Loyal</v>
      </c>
      <c r="N154">
        <f t="shared" si="5"/>
        <v>2015</v>
      </c>
    </row>
    <row r="155" spans="1:14" x14ac:dyDescent="0.25">
      <c r="A155" t="s">
        <v>330</v>
      </c>
      <c r="B155" t="s">
        <v>331</v>
      </c>
      <c r="C155" t="s">
        <v>10</v>
      </c>
      <c r="D155">
        <v>53</v>
      </c>
      <c r="E155" t="str" cm="1">
        <f t="array" ref="E155">_xlfn.IFS(D155 &lt; 26, "Gen Z", D155 &lt;= 41, "Millennials", D155 &lt;= 57, "Gen X", D155 &gt;= 58, "Boomers")</f>
        <v>Gen X</v>
      </c>
      <c r="F155" t="s">
        <v>11</v>
      </c>
      <c r="G155" t="s">
        <v>18</v>
      </c>
      <c r="H155">
        <v>164579</v>
      </c>
      <c r="I155" t="str" cm="1">
        <f t="array" ref="I155">_xlfn.IFS(H155 &lt; 30000, "Low", H155 &lt; 60000, "Medium", H155 &lt; 100000, "High", H155 &gt;= 100000, "Premium")</f>
        <v>Premium</v>
      </c>
      <c r="J155" t="s">
        <v>23</v>
      </c>
      <c r="K155" s="1">
        <v>42280</v>
      </c>
      <c r="L155">
        <f t="shared" ca="1" si="4"/>
        <v>10</v>
      </c>
      <c r="M155" t="str" cm="1">
        <f t="array" aca="1" ref="M155" ca="1">_xlfn.IFS( L155 &lt;=2, "New", L155&lt;=6, "Engaged", L155 &gt;6, "Loyal")</f>
        <v>Loyal</v>
      </c>
      <c r="N155">
        <f t="shared" si="5"/>
        <v>2015</v>
      </c>
    </row>
    <row r="156" spans="1:14" x14ac:dyDescent="0.25">
      <c r="A156" t="s">
        <v>332</v>
      </c>
      <c r="B156" t="s">
        <v>333</v>
      </c>
      <c r="C156" t="s">
        <v>10</v>
      </c>
      <c r="D156">
        <v>50</v>
      </c>
      <c r="E156" t="str" cm="1">
        <f t="array" ref="E156">_xlfn.IFS(D156 &lt; 26, "Gen Z", D156 &lt;= 41, "Millennials", D156 &lt;= 57, "Gen X", D156 &gt;= 58, "Boomers")</f>
        <v>Gen X</v>
      </c>
      <c r="F156" t="s">
        <v>11</v>
      </c>
      <c r="G156" t="s">
        <v>22</v>
      </c>
      <c r="H156">
        <v>103807</v>
      </c>
      <c r="I156" t="str" cm="1">
        <f t="array" ref="I156">_xlfn.IFS(H156 &lt; 30000, "Low", H156 &lt; 60000, "Medium", H156 &lt; 100000, "High", H156 &gt;= 100000, "Premium")</f>
        <v>Premium</v>
      </c>
      <c r="J156" t="s">
        <v>13</v>
      </c>
      <c r="K156" s="1">
        <v>45264</v>
      </c>
      <c r="L156">
        <f t="shared" ca="1" si="4"/>
        <v>2</v>
      </c>
      <c r="M156" t="str" cm="1">
        <f t="array" aca="1" ref="M156" ca="1">_xlfn.IFS( L156 &lt;=2, "New", L156&lt;=6, "Engaged", L156 &gt;6, "Loyal")</f>
        <v>New</v>
      </c>
      <c r="N156">
        <f t="shared" si="5"/>
        <v>2023</v>
      </c>
    </row>
    <row r="157" spans="1:14" x14ac:dyDescent="0.25">
      <c r="A157" t="s">
        <v>334</v>
      </c>
      <c r="B157" t="s">
        <v>335</v>
      </c>
      <c r="C157" t="s">
        <v>16</v>
      </c>
      <c r="D157">
        <v>47</v>
      </c>
      <c r="E157" t="str" cm="1">
        <f t="array" ref="E157">_xlfn.IFS(D157 &lt; 26, "Gen Z", D157 &lt;= 41, "Millennials", D157 &lt;= 57, "Gen X", D157 &gt;= 58, "Boomers")</f>
        <v>Gen X</v>
      </c>
      <c r="F157" t="s">
        <v>33</v>
      </c>
      <c r="G157" t="s">
        <v>41</v>
      </c>
      <c r="H157">
        <v>196611</v>
      </c>
      <c r="I157" t="str" cm="1">
        <f t="array" ref="I157">_xlfn.IFS(H157 &lt; 30000, "Low", H157 &lt; 60000, "Medium", H157 &lt; 100000, "High", H157 &gt;= 100000, "Premium")</f>
        <v>Premium</v>
      </c>
      <c r="J157" t="s">
        <v>13</v>
      </c>
      <c r="K157" s="1">
        <v>44850</v>
      </c>
      <c r="L157">
        <f t="shared" ca="1" si="4"/>
        <v>3</v>
      </c>
      <c r="M157" t="str" cm="1">
        <f t="array" aca="1" ref="M157" ca="1">_xlfn.IFS( L157 &lt;=2, "New", L157&lt;=6, "Engaged", L157 &gt;6, "Loyal")</f>
        <v>Engaged</v>
      </c>
      <c r="N157">
        <f t="shared" si="5"/>
        <v>2022</v>
      </c>
    </row>
    <row r="158" spans="1:14" x14ac:dyDescent="0.25">
      <c r="A158" t="s">
        <v>336</v>
      </c>
      <c r="B158" t="s">
        <v>337</v>
      </c>
      <c r="C158" t="s">
        <v>10</v>
      </c>
      <c r="D158">
        <v>54</v>
      </c>
      <c r="E158" t="str" cm="1">
        <f t="array" ref="E158">_xlfn.IFS(D158 &lt; 26, "Gen Z", D158 &lt;= 41, "Millennials", D158 &lt;= 57, "Gen X", D158 &gt;= 58, "Boomers")</f>
        <v>Gen X</v>
      </c>
      <c r="F158" t="s">
        <v>29</v>
      </c>
      <c r="G158" t="s">
        <v>26</v>
      </c>
      <c r="H158">
        <v>135953</v>
      </c>
      <c r="I158" t="str" cm="1">
        <f t="array" ref="I158">_xlfn.IFS(H158 &lt; 30000, "Low", H158 &lt; 60000, "Medium", H158 &lt; 100000, "High", H158 &gt;= 100000, "Premium")</f>
        <v>Premium</v>
      </c>
      <c r="J158" t="s">
        <v>19</v>
      </c>
      <c r="K158" s="1">
        <v>43172</v>
      </c>
      <c r="L158">
        <f t="shared" ca="1" si="4"/>
        <v>8</v>
      </c>
      <c r="M158" t="str" cm="1">
        <f t="array" aca="1" ref="M158" ca="1">_xlfn.IFS( L158 &lt;=2, "New", L158&lt;=6, "Engaged", L158 &gt;6, "Loyal")</f>
        <v>Loyal</v>
      </c>
      <c r="N158">
        <f t="shared" si="5"/>
        <v>2018</v>
      </c>
    </row>
    <row r="159" spans="1:14" x14ac:dyDescent="0.25">
      <c r="A159" t="s">
        <v>338</v>
      </c>
      <c r="B159" t="s">
        <v>339</v>
      </c>
      <c r="C159" t="s">
        <v>16</v>
      </c>
      <c r="D159">
        <v>40</v>
      </c>
      <c r="E159" t="str" cm="1">
        <f t="array" ref="E159">_xlfn.IFS(D159 &lt; 26, "Gen Z", D159 &lt;= 41, "Millennials", D159 &lt;= 57, "Gen X", D159 &gt;= 58, "Boomers")</f>
        <v>Millennials</v>
      </c>
      <c r="F159" t="s">
        <v>11</v>
      </c>
      <c r="G159" t="s">
        <v>36</v>
      </c>
      <c r="H159">
        <v>158563</v>
      </c>
      <c r="I159" t="str" cm="1">
        <f t="array" ref="I159">_xlfn.IFS(H159 &lt; 30000, "Low", H159 &lt; 60000, "Medium", H159 &lt; 100000, "High", H159 &gt;= 100000, "Premium")</f>
        <v>Premium</v>
      </c>
      <c r="J159" t="s">
        <v>13</v>
      </c>
      <c r="K159" s="1">
        <v>45774</v>
      </c>
      <c r="L159">
        <f t="shared" ca="1" si="4"/>
        <v>0</v>
      </c>
      <c r="M159" t="str" cm="1">
        <f t="array" aca="1" ref="M159" ca="1">_xlfn.IFS( L159 &lt;=2, "New", L159&lt;=6, "Engaged", L159 &gt;6, "Loyal")</f>
        <v>New</v>
      </c>
      <c r="N159">
        <f t="shared" si="5"/>
        <v>2025</v>
      </c>
    </row>
    <row r="160" spans="1:14" x14ac:dyDescent="0.25">
      <c r="A160" t="s">
        <v>340</v>
      </c>
      <c r="B160" t="s">
        <v>341</v>
      </c>
      <c r="C160" t="s">
        <v>10</v>
      </c>
      <c r="D160">
        <v>27</v>
      </c>
      <c r="E160" t="str" cm="1">
        <f t="array" ref="E160">_xlfn.IFS(D160 &lt; 26, "Gen Z", D160 &lt;= 41, "Millennials", D160 &lt;= 57, "Gen X", D160 &gt;= 58, "Boomers")</f>
        <v>Millennials</v>
      </c>
      <c r="F160" t="s">
        <v>29</v>
      </c>
      <c r="G160" t="s">
        <v>36</v>
      </c>
      <c r="H160">
        <v>143797</v>
      </c>
      <c r="I160" t="str" cm="1">
        <f t="array" ref="I160">_xlfn.IFS(H160 &lt; 30000, "Low", H160 &lt; 60000, "Medium", H160 &lt; 100000, "High", H160 &gt;= 100000, "Premium")</f>
        <v>Premium</v>
      </c>
      <c r="J160" t="s">
        <v>13</v>
      </c>
      <c r="K160" s="1">
        <v>43200</v>
      </c>
      <c r="L160">
        <f t="shared" ca="1" si="4"/>
        <v>8</v>
      </c>
      <c r="M160" t="str" cm="1">
        <f t="array" aca="1" ref="M160" ca="1">_xlfn.IFS( L160 &lt;=2, "New", L160&lt;=6, "Engaged", L160 &gt;6, "Loyal")</f>
        <v>Loyal</v>
      </c>
      <c r="N160">
        <f t="shared" si="5"/>
        <v>2018</v>
      </c>
    </row>
    <row r="161" spans="1:14" x14ac:dyDescent="0.25">
      <c r="A161" t="s">
        <v>342</v>
      </c>
      <c r="B161" t="s">
        <v>343</v>
      </c>
      <c r="C161" t="s">
        <v>16</v>
      </c>
      <c r="D161">
        <v>71</v>
      </c>
      <c r="E161" t="str" cm="1">
        <f t="array" ref="E161">_xlfn.IFS(D161 &lt; 26, "Gen Z", D161 &lt;= 41, "Millennials", D161 &lt;= 57, "Gen X", D161 &gt;= 58, "Boomers")</f>
        <v>Boomers</v>
      </c>
      <c r="F161" t="s">
        <v>11</v>
      </c>
      <c r="G161" t="s">
        <v>41</v>
      </c>
      <c r="H161">
        <v>83888</v>
      </c>
      <c r="I161" t="str" cm="1">
        <f t="array" ref="I161">_xlfn.IFS(H161 &lt; 30000, "Low", H161 &lt; 60000, "Medium", H161 &lt; 100000, "High", H161 &gt;= 100000, "Premium")</f>
        <v>High</v>
      </c>
      <c r="J161" t="s">
        <v>13</v>
      </c>
      <c r="K161" s="1">
        <v>42314</v>
      </c>
      <c r="L161">
        <f t="shared" ca="1" si="4"/>
        <v>10</v>
      </c>
      <c r="M161" t="str" cm="1">
        <f t="array" aca="1" ref="M161" ca="1">_xlfn.IFS( L161 &lt;=2, "New", L161&lt;=6, "Engaged", L161 &gt;6, "Loyal")</f>
        <v>Loyal</v>
      </c>
      <c r="N161">
        <f t="shared" si="5"/>
        <v>2015</v>
      </c>
    </row>
    <row r="162" spans="1:14" x14ac:dyDescent="0.25">
      <c r="A162" t="s">
        <v>344</v>
      </c>
      <c r="B162" t="s">
        <v>345</v>
      </c>
      <c r="C162" t="s">
        <v>10</v>
      </c>
      <c r="D162">
        <v>22</v>
      </c>
      <c r="E162" t="str" cm="1">
        <f t="array" ref="E162">_xlfn.IFS(D162 &lt; 26, "Gen Z", D162 &lt;= 41, "Millennials", D162 &lt;= 57, "Gen X", D162 &gt;= 58, "Boomers")</f>
        <v>Gen Z</v>
      </c>
      <c r="F162" t="s">
        <v>17</v>
      </c>
      <c r="G162" t="s">
        <v>12</v>
      </c>
      <c r="H162">
        <v>93609</v>
      </c>
      <c r="I162" t="str" cm="1">
        <f t="array" ref="I162">_xlfn.IFS(H162 &lt; 30000, "Low", H162 &lt; 60000, "Medium", H162 &lt; 100000, "High", H162 &gt;= 100000, "Premium")</f>
        <v>High</v>
      </c>
      <c r="J162" t="s">
        <v>13</v>
      </c>
      <c r="K162" s="1">
        <v>44252</v>
      </c>
      <c r="L162">
        <f t="shared" ca="1" si="4"/>
        <v>5</v>
      </c>
      <c r="M162" t="str" cm="1">
        <f t="array" aca="1" ref="M162" ca="1">_xlfn.IFS( L162 &lt;=2, "New", L162&lt;=6, "Engaged", L162 &gt;6, "Loyal")</f>
        <v>Engaged</v>
      </c>
      <c r="N162">
        <f t="shared" si="5"/>
        <v>2021</v>
      </c>
    </row>
    <row r="163" spans="1:14" x14ac:dyDescent="0.25">
      <c r="A163" t="s">
        <v>346</v>
      </c>
      <c r="B163" t="s">
        <v>347</v>
      </c>
      <c r="C163" t="s">
        <v>10</v>
      </c>
      <c r="D163">
        <v>53</v>
      </c>
      <c r="E163" t="str" cm="1">
        <f t="array" ref="E163">_xlfn.IFS(D163 &lt; 26, "Gen Z", D163 &lt;= 41, "Millennials", D163 &lt;= 57, "Gen X", D163 &gt;= 58, "Boomers")</f>
        <v>Gen X</v>
      </c>
      <c r="F163" t="s">
        <v>11</v>
      </c>
      <c r="G163" t="s">
        <v>41</v>
      </c>
      <c r="H163">
        <v>29077</v>
      </c>
      <c r="I163" t="str" cm="1">
        <f t="array" ref="I163">_xlfn.IFS(H163 &lt; 30000, "Low", H163 &lt; 60000, "Medium", H163 &lt; 100000, "High", H163 &gt;= 100000, "Premium")</f>
        <v>Low</v>
      </c>
      <c r="J163" t="s">
        <v>19</v>
      </c>
      <c r="K163" s="1">
        <v>42248</v>
      </c>
      <c r="L163">
        <f t="shared" ca="1" si="4"/>
        <v>10</v>
      </c>
      <c r="M163" t="str" cm="1">
        <f t="array" aca="1" ref="M163" ca="1">_xlfn.IFS( L163 &lt;=2, "New", L163&lt;=6, "Engaged", L163 &gt;6, "Loyal")</f>
        <v>Loyal</v>
      </c>
      <c r="N163">
        <f t="shared" si="5"/>
        <v>2015</v>
      </c>
    </row>
    <row r="164" spans="1:14" x14ac:dyDescent="0.25">
      <c r="A164" t="s">
        <v>348</v>
      </c>
      <c r="B164" t="s">
        <v>349</v>
      </c>
      <c r="C164" t="s">
        <v>16</v>
      </c>
      <c r="D164">
        <v>51</v>
      </c>
      <c r="E164" t="str" cm="1">
        <f t="array" ref="E164">_xlfn.IFS(D164 &lt; 26, "Gen Z", D164 &lt;= 41, "Millennials", D164 &lt;= 57, "Gen X", D164 &gt;= 58, "Boomers")</f>
        <v>Gen X</v>
      </c>
      <c r="F164" t="s">
        <v>29</v>
      </c>
      <c r="G164" t="s">
        <v>12</v>
      </c>
      <c r="H164">
        <v>40953</v>
      </c>
      <c r="I164" t="str" cm="1">
        <f t="array" ref="I164">_xlfn.IFS(H164 &lt; 30000, "Low", H164 &lt; 60000, "Medium", H164 &lt; 100000, "High", H164 &gt;= 100000, "Premium")</f>
        <v>Medium</v>
      </c>
      <c r="J164" t="s">
        <v>13</v>
      </c>
      <c r="K164" s="1">
        <v>44789</v>
      </c>
      <c r="L164">
        <f t="shared" ca="1" si="4"/>
        <v>3</v>
      </c>
      <c r="M164" t="str" cm="1">
        <f t="array" aca="1" ref="M164" ca="1">_xlfn.IFS( L164 &lt;=2, "New", L164&lt;=6, "Engaged", L164 &gt;6, "Loyal")</f>
        <v>Engaged</v>
      </c>
      <c r="N164">
        <f t="shared" si="5"/>
        <v>2022</v>
      </c>
    </row>
    <row r="165" spans="1:14" x14ac:dyDescent="0.25">
      <c r="A165" t="s">
        <v>350</v>
      </c>
      <c r="B165" t="s">
        <v>351</v>
      </c>
      <c r="C165" t="s">
        <v>16</v>
      </c>
      <c r="D165">
        <v>69</v>
      </c>
      <c r="E165" t="str" cm="1">
        <f t="array" ref="E165">_xlfn.IFS(D165 &lt; 26, "Gen Z", D165 &lt;= 41, "Millennials", D165 &lt;= 57, "Gen X", D165 &gt;= 58, "Boomers")</f>
        <v>Boomers</v>
      </c>
      <c r="F165" t="s">
        <v>17</v>
      </c>
      <c r="G165" t="s">
        <v>41</v>
      </c>
      <c r="H165">
        <v>134682</v>
      </c>
      <c r="I165" t="str" cm="1">
        <f t="array" ref="I165">_xlfn.IFS(H165 &lt; 30000, "Low", H165 &lt; 60000, "Medium", H165 &lt; 100000, "High", H165 &gt;= 100000, "Premium")</f>
        <v>Premium</v>
      </c>
      <c r="J165" t="s">
        <v>13</v>
      </c>
      <c r="K165" s="1">
        <v>44257</v>
      </c>
      <c r="L165">
        <f t="shared" ca="1" si="4"/>
        <v>5</v>
      </c>
      <c r="M165" t="str" cm="1">
        <f t="array" aca="1" ref="M165" ca="1">_xlfn.IFS( L165 &lt;=2, "New", L165&lt;=6, "Engaged", L165 &gt;6, "Loyal")</f>
        <v>Engaged</v>
      </c>
      <c r="N165">
        <f t="shared" si="5"/>
        <v>2021</v>
      </c>
    </row>
    <row r="166" spans="1:14" x14ac:dyDescent="0.25">
      <c r="A166" t="s">
        <v>352</v>
      </c>
      <c r="B166" t="s">
        <v>353</v>
      </c>
      <c r="C166" t="s">
        <v>16</v>
      </c>
      <c r="D166">
        <v>48</v>
      </c>
      <c r="E166" t="str" cm="1">
        <f t="array" ref="E166">_xlfn.IFS(D166 &lt; 26, "Gen Z", D166 &lt;= 41, "Millennials", D166 &lt;= 57, "Gen X", D166 &gt;= 58, "Boomers")</f>
        <v>Gen X</v>
      </c>
      <c r="F166" t="s">
        <v>17</v>
      </c>
      <c r="G166" t="s">
        <v>26</v>
      </c>
      <c r="H166">
        <v>87889</v>
      </c>
      <c r="I166" t="str" cm="1">
        <f t="array" ref="I166">_xlfn.IFS(H166 &lt; 30000, "Low", H166 &lt; 60000, "Medium", H166 &lt; 100000, "High", H166 &gt;= 100000, "Premium")</f>
        <v>High</v>
      </c>
      <c r="J166" t="s">
        <v>13</v>
      </c>
      <c r="K166" s="1">
        <v>45172</v>
      </c>
      <c r="L166">
        <f t="shared" ca="1" si="4"/>
        <v>2</v>
      </c>
      <c r="M166" t="str" cm="1">
        <f t="array" aca="1" ref="M166" ca="1">_xlfn.IFS( L166 &lt;=2, "New", L166&lt;=6, "Engaged", L166 &gt;6, "Loyal")</f>
        <v>New</v>
      </c>
      <c r="N166">
        <f t="shared" si="5"/>
        <v>2023</v>
      </c>
    </row>
    <row r="167" spans="1:14" x14ac:dyDescent="0.25">
      <c r="A167" t="s">
        <v>354</v>
      </c>
      <c r="B167" t="s">
        <v>355</v>
      </c>
      <c r="C167" t="s">
        <v>10</v>
      </c>
      <c r="D167">
        <v>27</v>
      </c>
      <c r="E167" t="str" cm="1">
        <f t="array" ref="E167">_xlfn.IFS(D167 &lt; 26, "Gen Z", D167 &lt;= 41, "Millennials", D167 &lt;= 57, "Gen X", D167 &gt;= 58, "Boomers")</f>
        <v>Millennials</v>
      </c>
      <c r="F167" t="s">
        <v>17</v>
      </c>
      <c r="G167" t="s">
        <v>30</v>
      </c>
      <c r="H167">
        <v>174893</v>
      </c>
      <c r="I167" t="str" cm="1">
        <f t="array" ref="I167">_xlfn.IFS(H167 &lt; 30000, "Low", H167 &lt; 60000, "Medium", H167 &lt; 100000, "High", H167 &gt;= 100000, "Premium")</f>
        <v>Premium</v>
      </c>
      <c r="J167" t="s">
        <v>13</v>
      </c>
      <c r="K167" s="1">
        <v>42431</v>
      </c>
      <c r="L167">
        <f t="shared" ca="1" si="4"/>
        <v>10</v>
      </c>
      <c r="M167" t="str" cm="1">
        <f t="array" aca="1" ref="M167" ca="1">_xlfn.IFS( L167 &lt;=2, "New", L167&lt;=6, "Engaged", L167 &gt;6, "Loyal")</f>
        <v>Loyal</v>
      </c>
      <c r="N167">
        <f t="shared" si="5"/>
        <v>2016</v>
      </c>
    </row>
    <row r="168" spans="1:14" x14ac:dyDescent="0.25">
      <c r="A168" t="s">
        <v>356</v>
      </c>
      <c r="B168" t="s">
        <v>357</v>
      </c>
      <c r="C168" t="s">
        <v>16</v>
      </c>
      <c r="D168">
        <v>36</v>
      </c>
      <c r="E168" t="str" cm="1">
        <f t="array" ref="E168">_xlfn.IFS(D168 &lt; 26, "Gen Z", D168 &lt;= 41, "Millennials", D168 &lt;= 57, "Gen X", D168 &gt;= 58, "Boomers")</f>
        <v>Millennials</v>
      </c>
      <c r="F168" t="s">
        <v>29</v>
      </c>
      <c r="G168" t="s">
        <v>36</v>
      </c>
      <c r="H168">
        <v>188639</v>
      </c>
      <c r="I168" t="str" cm="1">
        <f t="array" ref="I168">_xlfn.IFS(H168 &lt; 30000, "Low", H168 &lt; 60000, "Medium", H168 &lt; 100000, "High", H168 &gt;= 100000, "Premium")</f>
        <v>Premium</v>
      </c>
      <c r="J168" t="s">
        <v>13</v>
      </c>
      <c r="K168" s="1">
        <v>45492</v>
      </c>
      <c r="L168">
        <f t="shared" ca="1" si="4"/>
        <v>1</v>
      </c>
      <c r="M168" t="str" cm="1">
        <f t="array" aca="1" ref="M168" ca="1">_xlfn.IFS( L168 &lt;=2, "New", L168&lt;=6, "Engaged", L168 &gt;6, "Loyal")</f>
        <v>New</v>
      </c>
      <c r="N168">
        <f t="shared" si="5"/>
        <v>2024</v>
      </c>
    </row>
    <row r="169" spans="1:14" x14ac:dyDescent="0.25">
      <c r="A169" t="s">
        <v>358</v>
      </c>
      <c r="B169" t="s">
        <v>359</v>
      </c>
      <c r="C169" t="s">
        <v>10</v>
      </c>
      <c r="D169">
        <v>49</v>
      </c>
      <c r="E169" t="str" cm="1">
        <f t="array" ref="E169">_xlfn.IFS(D169 &lt; 26, "Gen Z", D169 &lt;= 41, "Millennials", D169 &lt;= 57, "Gen X", D169 &gt;= 58, "Boomers")</f>
        <v>Gen X</v>
      </c>
      <c r="F169" t="s">
        <v>33</v>
      </c>
      <c r="G169" t="s">
        <v>41</v>
      </c>
      <c r="H169">
        <v>135374</v>
      </c>
      <c r="I169" t="str" cm="1">
        <f t="array" ref="I169">_xlfn.IFS(H169 &lt; 30000, "Low", H169 &lt; 60000, "Medium", H169 &lt; 100000, "High", H169 &gt;= 100000, "Premium")</f>
        <v>Premium</v>
      </c>
      <c r="J169" t="s">
        <v>13</v>
      </c>
      <c r="K169" s="1">
        <v>43786</v>
      </c>
      <c r="L169">
        <f t="shared" ca="1" si="4"/>
        <v>6</v>
      </c>
      <c r="M169" t="str" cm="1">
        <f t="array" aca="1" ref="M169" ca="1">_xlfn.IFS( L169 &lt;=2, "New", L169&lt;=6, "Engaged", L169 &gt;6, "Loyal")</f>
        <v>Engaged</v>
      </c>
      <c r="N169">
        <f t="shared" si="5"/>
        <v>2019</v>
      </c>
    </row>
    <row r="170" spans="1:14" x14ac:dyDescent="0.25">
      <c r="A170" t="s">
        <v>360</v>
      </c>
      <c r="B170" t="s">
        <v>361</v>
      </c>
      <c r="C170" t="s">
        <v>10</v>
      </c>
      <c r="D170">
        <v>18</v>
      </c>
      <c r="E170" t="str" cm="1">
        <f t="array" ref="E170">_xlfn.IFS(D170 &lt; 26, "Gen Z", D170 &lt;= 41, "Millennials", D170 &lt;= 57, "Gen X", D170 &gt;= 58, "Boomers")</f>
        <v>Gen Z</v>
      </c>
      <c r="F170" t="s">
        <v>33</v>
      </c>
      <c r="G170" t="s">
        <v>26</v>
      </c>
      <c r="H170">
        <v>44860</v>
      </c>
      <c r="I170" t="str" cm="1">
        <f t="array" ref="I170">_xlfn.IFS(H170 &lt; 30000, "Low", H170 &lt; 60000, "Medium", H170 &lt; 100000, "High", H170 &gt;= 100000, "Premium")</f>
        <v>Medium</v>
      </c>
      <c r="J170" t="s">
        <v>13</v>
      </c>
      <c r="K170" s="1">
        <v>45714</v>
      </c>
      <c r="L170">
        <f t="shared" ca="1" si="4"/>
        <v>1</v>
      </c>
      <c r="M170" t="str" cm="1">
        <f t="array" aca="1" ref="M170" ca="1">_xlfn.IFS( L170 &lt;=2, "New", L170&lt;=6, "Engaged", L170 &gt;6, "Loyal")</f>
        <v>New</v>
      </c>
      <c r="N170">
        <f t="shared" si="5"/>
        <v>2025</v>
      </c>
    </row>
    <row r="171" spans="1:14" x14ac:dyDescent="0.25">
      <c r="A171" t="s">
        <v>362</v>
      </c>
      <c r="B171" t="s">
        <v>363</v>
      </c>
      <c r="C171" t="s">
        <v>16</v>
      </c>
      <c r="D171">
        <v>73</v>
      </c>
      <c r="E171" t="str" cm="1">
        <f t="array" ref="E171">_xlfn.IFS(D171 &lt; 26, "Gen Z", D171 &lt;= 41, "Millennials", D171 &lt;= 57, "Gen X", D171 &gt;= 58, "Boomers")</f>
        <v>Boomers</v>
      </c>
      <c r="F171" t="s">
        <v>33</v>
      </c>
      <c r="G171" t="s">
        <v>12</v>
      </c>
      <c r="H171">
        <v>172267</v>
      </c>
      <c r="I171" t="str" cm="1">
        <f t="array" ref="I171">_xlfn.IFS(H171 &lt; 30000, "Low", H171 &lt; 60000, "Medium", H171 &lt; 100000, "High", H171 &gt;= 100000, "Premium")</f>
        <v>Premium</v>
      </c>
      <c r="J171" t="s">
        <v>19</v>
      </c>
      <c r="K171" s="1">
        <v>44887</v>
      </c>
      <c r="L171">
        <f t="shared" ca="1" si="4"/>
        <v>3</v>
      </c>
      <c r="M171" t="str" cm="1">
        <f t="array" aca="1" ref="M171" ca="1">_xlfn.IFS( L171 &lt;=2, "New", L171&lt;=6, "Engaged", L171 &gt;6, "Loyal")</f>
        <v>Engaged</v>
      </c>
      <c r="N171">
        <f t="shared" si="5"/>
        <v>2022</v>
      </c>
    </row>
    <row r="172" spans="1:14" x14ac:dyDescent="0.25">
      <c r="A172" t="s">
        <v>364</v>
      </c>
      <c r="B172" t="s">
        <v>365</v>
      </c>
      <c r="C172" t="s">
        <v>16</v>
      </c>
      <c r="D172">
        <v>22</v>
      </c>
      <c r="E172" t="str" cm="1">
        <f t="array" ref="E172">_xlfn.IFS(D172 &lt; 26, "Gen Z", D172 &lt;= 41, "Millennials", D172 &lt;= 57, "Gen X", D172 &gt;= 58, "Boomers")</f>
        <v>Gen Z</v>
      </c>
      <c r="F172" t="s">
        <v>29</v>
      </c>
      <c r="G172" t="s">
        <v>12</v>
      </c>
      <c r="H172">
        <v>97475</v>
      </c>
      <c r="I172" t="str" cm="1">
        <f t="array" ref="I172">_xlfn.IFS(H172 &lt; 30000, "Low", H172 &lt; 60000, "Medium", H172 &lt; 100000, "High", H172 &gt;= 100000, "Premium")</f>
        <v>High</v>
      </c>
      <c r="J172" t="s">
        <v>13</v>
      </c>
      <c r="K172" s="1">
        <v>42532</v>
      </c>
      <c r="L172">
        <f t="shared" ca="1" si="4"/>
        <v>9</v>
      </c>
      <c r="M172" t="str" cm="1">
        <f t="array" aca="1" ref="M172" ca="1">_xlfn.IFS( L172 &lt;=2, "New", L172&lt;=6, "Engaged", L172 &gt;6, "Loyal")</f>
        <v>Loyal</v>
      </c>
      <c r="N172">
        <f t="shared" si="5"/>
        <v>2016</v>
      </c>
    </row>
    <row r="173" spans="1:14" x14ac:dyDescent="0.25">
      <c r="A173" t="s">
        <v>366</v>
      </c>
      <c r="B173" t="s">
        <v>367</v>
      </c>
      <c r="C173" t="s">
        <v>10</v>
      </c>
      <c r="D173">
        <v>62</v>
      </c>
      <c r="E173" t="str" cm="1">
        <f t="array" ref="E173">_xlfn.IFS(D173 &lt; 26, "Gen Z", D173 &lt;= 41, "Millennials", D173 &lt;= 57, "Gen X", D173 &gt;= 58, "Boomers")</f>
        <v>Boomers</v>
      </c>
      <c r="F173" t="s">
        <v>17</v>
      </c>
      <c r="G173" t="s">
        <v>36</v>
      </c>
      <c r="H173">
        <v>107266</v>
      </c>
      <c r="I173" t="str" cm="1">
        <f t="array" ref="I173">_xlfn.IFS(H173 &lt; 30000, "Low", H173 &lt; 60000, "Medium", H173 &lt; 100000, "High", H173 &gt;= 100000, "Premium")</f>
        <v>Premium</v>
      </c>
      <c r="J173" t="s">
        <v>13</v>
      </c>
      <c r="K173" s="1">
        <v>43988</v>
      </c>
      <c r="L173">
        <f t="shared" ca="1" si="4"/>
        <v>5</v>
      </c>
      <c r="M173" t="str" cm="1">
        <f t="array" aca="1" ref="M173" ca="1">_xlfn.IFS( L173 &lt;=2, "New", L173&lt;=6, "Engaged", L173 &gt;6, "Loyal")</f>
        <v>Engaged</v>
      </c>
      <c r="N173">
        <f t="shared" si="5"/>
        <v>2020</v>
      </c>
    </row>
    <row r="174" spans="1:14" x14ac:dyDescent="0.25">
      <c r="A174" t="s">
        <v>368</v>
      </c>
      <c r="B174" t="s">
        <v>369</v>
      </c>
      <c r="C174" t="s">
        <v>10</v>
      </c>
      <c r="D174">
        <v>21</v>
      </c>
      <c r="E174" t="str" cm="1">
        <f t="array" ref="E174">_xlfn.IFS(D174 &lt; 26, "Gen Z", D174 &lt;= 41, "Millennials", D174 &lt;= 57, "Gen X", D174 &gt;= 58, "Boomers")</f>
        <v>Gen Z</v>
      </c>
      <c r="F174" t="s">
        <v>33</v>
      </c>
      <c r="G174" t="s">
        <v>18</v>
      </c>
      <c r="H174">
        <v>172499</v>
      </c>
      <c r="I174" t="str" cm="1">
        <f t="array" ref="I174">_xlfn.IFS(H174 &lt; 30000, "Low", H174 &lt; 60000, "Medium", H174 &lt; 100000, "High", H174 &gt;= 100000, "Premium")</f>
        <v>Premium</v>
      </c>
      <c r="J174" t="s">
        <v>19</v>
      </c>
      <c r="K174" s="1">
        <v>44501</v>
      </c>
      <c r="L174">
        <f t="shared" ca="1" si="4"/>
        <v>4</v>
      </c>
      <c r="M174" t="str" cm="1">
        <f t="array" aca="1" ref="M174" ca="1">_xlfn.IFS( L174 &lt;=2, "New", L174&lt;=6, "Engaged", L174 &gt;6, "Loyal")</f>
        <v>Engaged</v>
      </c>
      <c r="N174">
        <f t="shared" si="5"/>
        <v>2021</v>
      </c>
    </row>
    <row r="175" spans="1:14" x14ac:dyDescent="0.25">
      <c r="A175" t="s">
        <v>370</v>
      </c>
      <c r="B175" t="s">
        <v>371</v>
      </c>
      <c r="C175" t="s">
        <v>16</v>
      </c>
      <c r="D175">
        <v>33</v>
      </c>
      <c r="E175" t="str" cm="1">
        <f t="array" ref="E175">_xlfn.IFS(D175 &lt; 26, "Gen Z", D175 &lt;= 41, "Millennials", D175 &lt;= 57, "Gen X", D175 &gt;= 58, "Boomers")</f>
        <v>Millennials</v>
      </c>
      <c r="F175" t="s">
        <v>29</v>
      </c>
      <c r="G175" t="s">
        <v>41</v>
      </c>
      <c r="H175">
        <v>120732</v>
      </c>
      <c r="I175" t="str" cm="1">
        <f t="array" ref="I175">_xlfn.IFS(H175 &lt; 30000, "Low", H175 &lt; 60000, "Medium", H175 &lt; 100000, "High", H175 &gt;= 100000, "Premium")</f>
        <v>Premium</v>
      </c>
      <c r="J175" t="s">
        <v>19</v>
      </c>
      <c r="K175" s="1">
        <v>43767</v>
      </c>
      <c r="L175">
        <f t="shared" ca="1" si="4"/>
        <v>6</v>
      </c>
      <c r="M175" t="str" cm="1">
        <f t="array" aca="1" ref="M175" ca="1">_xlfn.IFS( L175 &lt;=2, "New", L175&lt;=6, "Engaged", L175 &gt;6, "Loyal")</f>
        <v>Engaged</v>
      </c>
      <c r="N175">
        <f t="shared" si="5"/>
        <v>2019</v>
      </c>
    </row>
    <row r="176" spans="1:14" x14ac:dyDescent="0.25">
      <c r="A176" t="s">
        <v>372</v>
      </c>
      <c r="B176" t="s">
        <v>373</v>
      </c>
      <c r="C176" t="s">
        <v>16</v>
      </c>
      <c r="D176">
        <v>41</v>
      </c>
      <c r="E176" t="str" cm="1">
        <f t="array" ref="E176">_xlfn.IFS(D176 &lt; 26, "Gen Z", D176 &lt;= 41, "Millennials", D176 &lt;= 57, "Gen X", D176 &gt;= 58, "Boomers")</f>
        <v>Millennials</v>
      </c>
      <c r="F176" t="s">
        <v>33</v>
      </c>
      <c r="G176" t="s">
        <v>22</v>
      </c>
      <c r="H176">
        <v>47083</v>
      </c>
      <c r="I176" t="str" cm="1">
        <f t="array" ref="I176">_xlfn.IFS(H176 &lt; 30000, "Low", H176 &lt; 60000, "Medium", H176 &lt; 100000, "High", H176 &gt;= 100000, "Premium")</f>
        <v>Medium</v>
      </c>
      <c r="J176" t="s">
        <v>13</v>
      </c>
      <c r="K176" s="1">
        <v>43046</v>
      </c>
      <c r="L176">
        <f t="shared" ca="1" si="4"/>
        <v>8</v>
      </c>
      <c r="M176" t="str" cm="1">
        <f t="array" aca="1" ref="M176" ca="1">_xlfn.IFS( L176 &lt;=2, "New", L176&lt;=6, "Engaged", L176 &gt;6, "Loyal")</f>
        <v>Loyal</v>
      </c>
      <c r="N176">
        <f t="shared" si="5"/>
        <v>2017</v>
      </c>
    </row>
    <row r="177" spans="1:14" x14ac:dyDescent="0.25">
      <c r="A177" t="s">
        <v>374</v>
      </c>
      <c r="B177" t="s">
        <v>375</v>
      </c>
      <c r="C177" t="s">
        <v>16</v>
      </c>
      <c r="D177">
        <v>33</v>
      </c>
      <c r="E177" t="str" cm="1">
        <f t="array" ref="E177">_xlfn.IFS(D177 &lt; 26, "Gen Z", D177 &lt;= 41, "Millennials", D177 &lt;= 57, "Gen X", D177 &gt;= 58, "Boomers")</f>
        <v>Millennials</v>
      </c>
      <c r="F177" t="s">
        <v>11</v>
      </c>
      <c r="G177" t="s">
        <v>12</v>
      </c>
      <c r="H177">
        <v>77372</v>
      </c>
      <c r="I177" t="str" cm="1">
        <f t="array" ref="I177">_xlfn.IFS(H177 &lt; 30000, "Low", H177 &lt; 60000, "Medium", H177 &lt; 100000, "High", H177 &gt;= 100000, "Premium")</f>
        <v>High</v>
      </c>
      <c r="J177" t="s">
        <v>13</v>
      </c>
      <c r="K177" s="1">
        <v>42292</v>
      </c>
      <c r="L177">
        <f t="shared" ca="1" si="4"/>
        <v>10</v>
      </c>
      <c r="M177" t="str" cm="1">
        <f t="array" aca="1" ref="M177" ca="1">_xlfn.IFS( L177 &lt;=2, "New", L177&lt;=6, "Engaged", L177 &gt;6, "Loyal")</f>
        <v>Loyal</v>
      </c>
      <c r="N177">
        <f t="shared" si="5"/>
        <v>2015</v>
      </c>
    </row>
    <row r="178" spans="1:14" x14ac:dyDescent="0.25">
      <c r="A178" t="s">
        <v>376</v>
      </c>
      <c r="B178" t="s">
        <v>377</v>
      </c>
      <c r="C178" t="s">
        <v>10</v>
      </c>
      <c r="D178">
        <v>72</v>
      </c>
      <c r="E178" t="str" cm="1">
        <f t="array" ref="E178">_xlfn.IFS(D178 &lt; 26, "Gen Z", D178 &lt;= 41, "Millennials", D178 &lt;= 57, "Gen X", D178 &gt;= 58, "Boomers")</f>
        <v>Boomers</v>
      </c>
      <c r="F178" t="s">
        <v>33</v>
      </c>
      <c r="G178" t="s">
        <v>30</v>
      </c>
      <c r="H178">
        <v>143786</v>
      </c>
      <c r="I178" t="str" cm="1">
        <f t="array" ref="I178">_xlfn.IFS(H178 &lt; 30000, "Low", H178 &lt; 60000, "Medium", H178 &lt; 100000, "High", H178 &gt;= 100000, "Premium")</f>
        <v>Premium</v>
      </c>
      <c r="J178" t="s">
        <v>13</v>
      </c>
      <c r="K178" s="1">
        <v>45538</v>
      </c>
      <c r="L178">
        <f t="shared" ca="1" si="4"/>
        <v>1</v>
      </c>
      <c r="M178" t="str" cm="1">
        <f t="array" aca="1" ref="M178" ca="1">_xlfn.IFS( L178 &lt;=2, "New", L178&lt;=6, "Engaged", L178 &gt;6, "Loyal")</f>
        <v>New</v>
      </c>
      <c r="N178">
        <f t="shared" si="5"/>
        <v>2024</v>
      </c>
    </row>
    <row r="179" spans="1:14" x14ac:dyDescent="0.25">
      <c r="A179" t="s">
        <v>378</v>
      </c>
      <c r="B179" t="s">
        <v>379</v>
      </c>
      <c r="C179" t="s">
        <v>10</v>
      </c>
      <c r="D179">
        <v>19</v>
      </c>
      <c r="E179" t="str" cm="1">
        <f t="array" ref="E179">_xlfn.IFS(D179 &lt; 26, "Gen Z", D179 &lt;= 41, "Millennials", D179 &lt;= 57, "Gen X", D179 &gt;= 58, "Boomers")</f>
        <v>Gen Z</v>
      </c>
      <c r="F179" t="s">
        <v>33</v>
      </c>
      <c r="G179" t="s">
        <v>30</v>
      </c>
      <c r="H179">
        <v>195136</v>
      </c>
      <c r="I179" t="str" cm="1">
        <f t="array" ref="I179">_xlfn.IFS(H179 &lt; 30000, "Low", H179 &lt; 60000, "Medium", H179 &lt; 100000, "High", H179 &gt;= 100000, "Premium")</f>
        <v>Premium</v>
      </c>
      <c r="J179" t="s">
        <v>19</v>
      </c>
      <c r="K179" s="1">
        <v>45642</v>
      </c>
      <c r="L179">
        <f t="shared" ca="1" si="4"/>
        <v>1</v>
      </c>
      <c r="M179" t="str" cm="1">
        <f t="array" aca="1" ref="M179" ca="1">_xlfn.IFS( L179 &lt;=2, "New", L179&lt;=6, "Engaged", L179 &gt;6, "Loyal")</f>
        <v>New</v>
      </c>
      <c r="N179">
        <f t="shared" si="5"/>
        <v>2024</v>
      </c>
    </row>
    <row r="180" spans="1:14" x14ac:dyDescent="0.25">
      <c r="A180" t="s">
        <v>380</v>
      </c>
      <c r="B180" t="s">
        <v>381</v>
      </c>
      <c r="C180" t="s">
        <v>10</v>
      </c>
      <c r="D180">
        <v>66</v>
      </c>
      <c r="E180" t="str" cm="1">
        <f t="array" ref="E180">_xlfn.IFS(D180 &lt; 26, "Gen Z", D180 &lt;= 41, "Millennials", D180 &lt;= 57, "Gen X", D180 &gt;= 58, "Boomers")</f>
        <v>Boomers</v>
      </c>
      <c r="F180" t="s">
        <v>17</v>
      </c>
      <c r="G180" t="s">
        <v>12</v>
      </c>
      <c r="H180">
        <v>27813</v>
      </c>
      <c r="I180" t="str" cm="1">
        <f t="array" ref="I180">_xlfn.IFS(H180 &lt; 30000, "Low", H180 &lt; 60000, "Medium", H180 &lt; 100000, "High", H180 &gt;= 100000, "Premium")</f>
        <v>Low</v>
      </c>
      <c r="J180" t="s">
        <v>23</v>
      </c>
      <c r="K180" s="1">
        <v>42803</v>
      </c>
      <c r="L180">
        <f t="shared" ca="1" si="4"/>
        <v>9</v>
      </c>
      <c r="M180" t="str" cm="1">
        <f t="array" aca="1" ref="M180" ca="1">_xlfn.IFS( L180 &lt;=2, "New", L180&lt;=6, "Engaged", L180 &gt;6, "Loyal")</f>
        <v>Loyal</v>
      </c>
      <c r="N180">
        <f t="shared" si="5"/>
        <v>2017</v>
      </c>
    </row>
    <row r="181" spans="1:14" x14ac:dyDescent="0.25">
      <c r="A181" t="s">
        <v>382</v>
      </c>
      <c r="B181" t="s">
        <v>383</v>
      </c>
      <c r="C181" t="s">
        <v>10</v>
      </c>
      <c r="D181">
        <v>45</v>
      </c>
      <c r="E181" t="str" cm="1">
        <f t="array" ref="E181">_xlfn.IFS(D181 &lt; 26, "Gen Z", D181 &lt;= 41, "Millennials", D181 &lt;= 57, "Gen X", D181 &gt;= 58, "Boomers")</f>
        <v>Gen X</v>
      </c>
      <c r="F181" t="s">
        <v>29</v>
      </c>
      <c r="G181" t="s">
        <v>18</v>
      </c>
      <c r="H181">
        <v>51598</v>
      </c>
      <c r="I181" t="str" cm="1">
        <f t="array" ref="I181">_xlfn.IFS(H181 &lt; 30000, "Low", H181 &lt; 60000, "Medium", H181 &lt; 100000, "High", H181 &gt;= 100000, "Premium")</f>
        <v>Medium</v>
      </c>
      <c r="J181" t="s">
        <v>19</v>
      </c>
      <c r="K181" s="1">
        <v>45704</v>
      </c>
      <c r="L181">
        <f t="shared" ca="1" si="4"/>
        <v>1</v>
      </c>
      <c r="M181" t="str" cm="1">
        <f t="array" aca="1" ref="M181" ca="1">_xlfn.IFS( L181 &lt;=2, "New", L181&lt;=6, "Engaged", L181 &gt;6, "Loyal")</f>
        <v>New</v>
      </c>
      <c r="N181">
        <f t="shared" si="5"/>
        <v>2025</v>
      </c>
    </row>
    <row r="182" spans="1:14" x14ac:dyDescent="0.25">
      <c r="A182" t="s">
        <v>384</v>
      </c>
      <c r="B182" t="s">
        <v>385</v>
      </c>
      <c r="C182" t="s">
        <v>10</v>
      </c>
      <c r="D182">
        <v>49</v>
      </c>
      <c r="E182" t="str" cm="1">
        <f t="array" ref="E182">_xlfn.IFS(D182 &lt; 26, "Gen Z", D182 &lt;= 41, "Millennials", D182 &lt;= 57, "Gen X", D182 &gt;= 58, "Boomers")</f>
        <v>Gen X</v>
      </c>
      <c r="F182" t="s">
        <v>17</v>
      </c>
      <c r="G182" t="s">
        <v>18</v>
      </c>
      <c r="H182">
        <v>113106</v>
      </c>
      <c r="I182" t="str" cm="1">
        <f t="array" ref="I182">_xlfn.IFS(H182 &lt; 30000, "Low", H182 &lt; 60000, "Medium", H182 &lt; 100000, "High", H182 &gt;= 100000, "Premium")</f>
        <v>Premium</v>
      </c>
      <c r="J182" t="s">
        <v>13</v>
      </c>
      <c r="K182" s="1">
        <v>42387</v>
      </c>
      <c r="L182">
        <f t="shared" ca="1" si="4"/>
        <v>10</v>
      </c>
      <c r="M182" t="str" cm="1">
        <f t="array" aca="1" ref="M182" ca="1">_xlfn.IFS( L182 &lt;=2, "New", L182&lt;=6, "Engaged", L182 &gt;6, "Loyal")</f>
        <v>Loyal</v>
      </c>
      <c r="N182">
        <f t="shared" si="5"/>
        <v>2016</v>
      </c>
    </row>
    <row r="183" spans="1:14" x14ac:dyDescent="0.25">
      <c r="A183" t="s">
        <v>386</v>
      </c>
      <c r="B183" t="s">
        <v>387</v>
      </c>
      <c r="C183" t="s">
        <v>10</v>
      </c>
      <c r="D183">
        <v>44</v>
      </c>
      <c r="E183" t="str" cm="1">
        <f t="array" ref="E183">_xlfn.IFS(D183 &lt; 26, "Gen Z", D183 &lt;= 41, "Millennials", D183 &lt;= 57, "Gen X", D183 &gt;= 58, "Boomers")</f>
        <v>Gen X</v>
      </c>
      <c r="F183" t="s">
        <v>17</v>
      </c>
      <c r="G183" t="s">
        <v>26</v>
      </c>
      <c r="H183">
        <v>47082</v>
      </c>
      <c r="I183" t="str" cm="1">
        <f t="array" ref="I183">_xlfn.IFS(H183 &lt; 30000, "Low", H183 &lt; 60000, "Medium", H183 &lt; 100000, "High", H183 &gt;= 100000, "Premium")</f>
        <v>Medium</v>
      </c>
      <c r="J183" t="s">
        <v>19</v>
      </c>
      <c r="K183" s="1">
        <v>45843</v>
      </c>
      <c r="L183">
        <f t="shared" ca="1" si="4"/>
        <v>0</v>
      </c>
      <c r="M183" t="str" cm="1">
        <f t="array" aca="1" ref="M183" ca="1">_xlfn.IFS( L183 &lt;=2, "New", L183&lt;=6, "Engaged", L183 &gt;6, "Loyal")</f>
        <v>New</v>
      </c>
      <c r="N183">
        <f t="shared" si="5"/>
        <v>2025</v>
      </c>
    </row>
    <row r="184" spans="1:14" x14ac:dyDescent="0.25">
      <c r="A184" t="s">
        <v>388</v>
      </c>
      <c r="B184" t="s">
        <v>389</v>
      </c>
      <c r="C184" t="s">
        <v>16</v>
      </c>
      <c r="D184">
        <v>37</v>
      </c>
      <c r="E184" t="str" cm="1">
        <f t="array" ref="E184">_xlfn.IFS(D184 &lt; 26, "Gen Z", D184 &lt;= 41, "Millennials", D184 &lt;= 57, "Gen X", D184 &gt;= 58, "Boomers")</f>
        <v>Millennials</v>
      </c>
      <c r="F184" t="s">
        <v>17</v>
      </c>
      <c r="G184" t="s">
        <v>30</v>
      </c>
      <c r="H184">
        <v>49241</v>
      </c>
      <c r="I184" t="str" cm="1">
        <f t="array" ref="I184">_xlfn.IFS(H184 &lt; 30000, "Low", H184 &lt; 60000, "Medium", H184 &lt; 100000, "High", H184 &gt;= 100000, "Premium")</f>
        <v>Medium</v>
      </c>
      <c r="J184" t="s">
        <v>13</v>
      </c>
      <c r="K184" s="1">
        <v>43202</v>
      </c>
      <c r="L184">
        <f t="shared" ca="1" si="4"/>
        <v>8</v>
      </c>
      <c r="M184" t="str" cm="1">
        <f t="array" aca="1" ref="M184" ca="1">_xlfn.IFS( L184 &lt;=2, "New", L184&lt;=6, "Engaged", L184 &gt;6, "Loyal")</f>
        <v>Loyal</v>
      </c>
      <c r="N184">
        <f t="shared" si="5"/>
        <v>2018</v>
      </c>
    </row>
    <row r="185" spans="1:14" x14ac:dyDescent="0.25">
      <c r="A185" t="s">
        <v>390</v>
      </c>
      <c r="B185" t="s">
        <v>391</v>
      </c>
      <c r="C185" t="s">
        <v>10</v>
      </c>
      <c r="D185">
        <v>41</v>
      </c>
      <c r="E185" t="str" cm="1">
        <f t="array" ref="E185">_xlfn.IFS(D185 &lt; 26, "Gen Z", D185 &lt;= 41, "Millennials", D185 &lt;= 57, "Gen X", D185 &gt;= 58, "Boomers")</f>
        <v>Millennials</v>
      </c>
      <c r="F185" t="s">
        <v>17</v>
      </c>
      <c r="G185" t="s">
        <v>26</v>
      </c>
      <c r="H185">
        <v>195641</v>
      </c>
      <c r="I185" t="str" cm="1">
        <f t="array" ref="I185">_xlfn.IFS(H185 &lt; 30000, "Low", H185 &lt; 60000, "Medium", H185 &lt; 100000, "High", H185 &gt;= 100000, "Premium")</f>
        <v>Premium</v>
      </c>
      <c r="J185" t="s">
        <v>13</v>
      </c>
      <c r="K185" s="1">
        <v>44775</v>
      </c>
      <c r="L185">
        <f t="shared" ca="1" si="4"/>
        <v>3</v>
      </c>
      <c r="M185" t="str" cm="1">
        <f t="array" aca="1" ref="M185" ca="1">_xlfn.IFS( L185 &lt;=2, "New", L185&lt;=6, "Engaged", L185 &gt;6, "Loyal")</f>
        <v>Engaged</v>
      </c>
      <c r="N185">
        <f t="shared" si="5"/>
        <v>2022</v>
      </c>
    </row>
    <row r="186" spans="1:14" x14ac:dyDescent="0.25">
      <c r="A186" t="s">
        <v>392</v>
      </c>
      <c r="B186" t="s">
        <v>393</v>
      </c>
      <c r="C186" t="s">
        <v>10</v>
      </c>
      <c r="D186">
        <v>29</v>
      </c>
      <c r="E186" t="str" cm="1">
        <f t="array" ref="E186">_xlfn.IFS(D186 &lt; 26, "Gen Z", D186 &lt;= 41, "Millennials", D186 &lt;= 57, "Gen X", D186 &gt;= 58, "Boomers")</f>
        <v>Millennials</v>
      </c>
      <c r="F186" t="s">
        <v>17</v>
      </c>
      <c r="G186" t="s">
        <v>30</v>
      </c>
      <c r="H186">
        <v>31745</v>
      </c>
      <c r="I186" t="str" cm="1">
        <f t="array" ref="I186">_xlfn.IFS(H186 &lt; 30000, "Low", H186 &lt; 60000, "Medium", H186 &lt; 100000, "High", H186 &gt;= 100000, "Premium")</f>
        <v>Medium</v>
      </c>
      <c r="J186" t="s">
        <v>13</v>
      </c>
      <c r="K186" s="1">
        <v>45422</v>
      </c>
      <c r="L186">
        <f t="shared" ca="1" si="4"/>
        <v>1</v>
      </c>
      <c r="M186" t="str" cm="1">
        <f t="array" aca="1" ref="M186" ca="1">_xlfn.IFS( L186 &lt;=2, "New", L186&lt;=6, "Engaged", L186 &gt;6, "Loyal")</f>
        <v>New</v>
      </c>
      <c r="N186">
        <f t="shared" si="5"/>
        <v>2024</v>
      </c>
    </row>
    <row r="187" spans="1:14" x14ac:dyDescent="0.25">
      <c r="A187" t="s">
        <v>394</v>
      </c>
      <c r="B187" t="s">
        <v>395</v>
      </c>
      <c r="C187" t="s">
        <v>10</v>
      </c>
      <c r="D187">
        <v>67</v>
      </c>
      <c r="E187" t="str" cm="1">
        <f t="array" ref="E187">_xlfn.IFS(D187 &lt; 26, "Gen Z", D187 &lt;= 41, "Millennials", D187 &lt;= 57, "Gen X", D187 &gt;= 58, "Boomers")</f>
        <v>Boomers</v>
      </c>
      <c r="F187" t="s">
        <v>33</v>
      </c>
      <c r="G187" t="s">
        <v>41</v>
      </c>
      <c r="H187">
        <v>46029</v>
      </c>
      <c r="I187" t="str" cm="1">
        <f t="array" ref="I187">_xlfn.IFS(H187 &lt; 30000, "Low", H187 &lt; 60000, "Medium", H187 &lt; 100000, "High", H187 &gt;= 100000, "Premium")</f>
        <v>Medium</v>
      </c>
      <c r="J187" t="s">
        <v>23</v>
      </c>
      <c r="K187" s="1">
        <v>42881</v>
      </c>
      <c r="L187">
        <f t="shared" ca="1" si="4"/>
        <v>8</v>
      </c>
      <c r="M187" t="str" cm="1">
        <f t="array" aca="1" ref="M187" ca="1">_xlfn.IFS( L187 &lt;=2, "New", L187&lt;=6, "Engaged", L187 &gt;6, "Loyal")</f>
        <v>Loyal</v>
      </c>
      <c r="N187">
        <f t="shared" si="5"/>
        <v>2017</v>
      </c>
    </row>
    <row r="188" spans="1:14" x14ac:dyDescent="0.25">
      <c r="A188" t="s">
        <v>396</v>
      </c>
      <c r="B188" t="s">
        <v>397</v>
      </c>
      <c r="C188" t="s">
        <v>16</v>
      </c>
      <c r="D188">
        <v>52</v>
      </c>
      <c r="E188" t="str" cm="1">
        <f t="array" ref="E188">_xlfn.IFS(D188 &lt; 26, "Gen Z", D188 &lt;= 41, "Millennials", D188 &lt;= 57, "Gen X", D188 &gt;= 58, "Boomers")</f>
        <v>Gen X</v>
      </c>
      <c r="F188" t="s">
        <v>17</v>
      </c>
      <c r="G188" t="s">
        <v>41</v>
      </c>
      <c r="H188">
        <v>164097</v>
      </c>
      <c r="I188" t="str" cm="1">
        <f t="array" ref="I188">_xlfn.IFS(H188 &lt; 30000, "Low", H188 &lt; 60000, "Medium", H188 &lt; 100000, "High", H188 &gt;= 100000, "Premium")</f>
        <v>Premium</v>
      </c>
      <c r="J188" t="s">
        <v>13</v>
      </c>
      <c r="K188" s="1">
        <v>45101</v>
      </c>
      <c r="L188">
        <f t="shared" ca="1" si="4"/>
        <v>2</v>
      </c>
      <c r="M188" t="str" cm="1">
        <f t="array" aca="1" ref="M188" ca="1">_xlfn.IFS( L188 &lt;=2, "New", L188&lt;=6, "Engaged", L188 &gt;6, "Loyal")</f>
        <v>New</v>
      </c>
      <c r="N188">
        <f t="shared" si="5"/>
        <v>2023</v>
      </c>
    </row>
    <row r="189" spans="1:14" x14ac:dyDescent="0.25">
      <c r="A189" t="s">
        <v>398</v>
      </c>
      <c r="B189" t="s">
        <v>399</v>
      </c>
      <c r="C189" t="s">
        <v>10</v>
      </c>
      <c r="D189">
        <v>50</v>
      </c>
      <c r="E189" t="str" cm="1">
        <f t="array" ref="E189">_xlfn.IFS(D189 &lt; 26, "Gen Z", D189 &lt;= 41, "Millennials", D189 &lt;= 57, "Gen X", D189 &gt;= 58, "Boomers")</f>
        <v>Gen X</v>
      </c>
      <c r="F189" t="s">
        <v>17</v>
      </c>
      <c r="G189" t="s">
        <v>22</v>
      </c>
      <c r="H189">
        <v>143395</v>
      </c>
      <c r="I189" t="str" cm="1">
        <f t="array" ref="I189">_xlfn.IFS(H189 &lt; 30000, "Low", H189 &lt; 60000, "Medium", H189 &lt; 100000, "High", H189 &gt;= 100000, "Premium")</f>
        <v>Premium</v>
      </c>
      <c r="J189" t="s">
        <v>19</v>
      </c>
      <c r="K189" s="1">
        <v>45211</v>
      </c>
      <c r="L189">
        <f t="shared" ca="1" si="4"/>
        <v>2</v>
      </c>
      <c r="M189" t="str" cm="1">
        <f t="array" aca="1" ref="M189" ca="1">_xlfn.IFS( L189 &lt;=2, "New", L189&lt;=6, "Engaged", L189 &gt;6, "Loyal")</f>
        <v>New</v>
      </c>
      <c r="N189">
        <f t="shared" si="5"/>
        <v>2023</v>
      </c>
    </row>
    <row r="190" spans="1:14" x14ac:dyDescent="0.25">
      <c r="A190" t="s">
        <v>400</v>
      </c>
      <c r="B190" t="s">
        <v>401</v>
      </c>
      <c r="C190" t="s">
        <v>10</v>
      </c>
      <c r="D190">
        <v>50</v>
      </c>
      <c r="E190" t="str" cm="1">
        <f t="array" ref="E190">_xlfn.IFS(D190 &lt; 26, "Gen Z", D190 &lt;= 41, "Millennials", D190 &lt;= 57, "Gen X", D190 &gt;= 58, "Boomers")</f>
        <v>Gen X</v>
      </c>
      <c r="F190" t="s">
        <v>29</v>
      </c>
      <c r="G190" t="s">
        <v>41</v>
      </c>
      <c r="H190">
        <v>165360</v>
      </c>
      <c r="I190" t="str" cm="1">
        <f t="array" ref="I190">_xlfn.IFS(H190 &lt; 30000, "Low", H190 &lt; 60000, "Medium", H190 &lt; 100000, "High", H190 &gt;= 100000, "Premium")</f>
        <v>Premium</v>
      </c>
      <c r="J190" t="s">
        <v>13</v>
      </c>
      <c r="K190" s="1">
        <v>45535</v>
      </c>
      <c r="L190">
        <f t="shared" ca="1" si="4"/>
        <v>1</v>
      </c>
      <c r="M190" t="str" cm="1">
        <f t="array" aca="1" ref="M190" ca="1">_xlfn.IFS( L190 &lt;=2, "New", L190&lt;=6, "Engaged", L190 &gt;6, "Loyal")</f>
        <v>New</v>
      </c>
      <c r="N190">
        <f t="shared" si="5"/>
        <v>2024</v>
      </c>
    </row>
    <row r="191" spans="1:14" x14ac:dyDescent="0.25">
      <c r="A191" t="s">
        <v>402</v>
      </c>
      <c r="B191" t="s">
        <v>403</v>
      </c>
      <c r="C191" t="s">
        <v>16</v>
      </c>
      <c r="D191">
        <v>68</v>
      </c>
      <c r="E191" t="str" cm="1">
        <f t="array" ref="E191">_xlfn.IFS(D191 &lt; 26, "Gen Z", D191 &lt;= 41, "Millennials", D191 &lt;= 57, "Gen X", D191 &gt;= 58, "Boomers")</f>
        <v>Boomers</v>
      </c>
      <c r="F191" t="s">
        <v>11</v>
      </c>
      <c r="G191" t="s">
        <v>22</v>
      </c>
      <c r="H191">
        <v>109186</v>
      </c>
      <c r="I191" t="str" cm="1">
        <f t="array" ref="I191">_xlfn.IFS(H191 &lt; 30000, "Low", H191 &lt; 60000, "Medium", H191 &lt; 100000, "High", H191 &gt;= 100000, "Premium")</f>
        <v>Premium</v>
      </c>
      <c r="J191" t="s">
        <v>13</v>
      </c>
      <c r="K191" s="1">
        <v>43008</v>
      </c>
      <c r="L191">
        <f t="shared" ca="1" si="4"/>
        <v>8</v>
      </c>
      <c r="M191" t="str" cm="1">
        <f t="array" aca="1" ref="M191" ca="1">_xlfn.IFS( L191 &lt;=2, "New", L191&lt;=6, "Engaged", L191 &gt;6, "Loyal")</f>
        <v>Loyal</v>
      </c>
      <c r="N191">
        <f t="shared" si="5"/>
        <v>2017</v>
      </c>
    </row>
    <row r="192" spans="1:14" x14ac:dyDescent="0.25">
      <c r="A192" t="s">
        <v>404</v>
      </c>
      <c r="B192" t="s">
        <v>405</v>
      </c>
      <c r="C192" t="s">
        <v>10</v>
      </c>
      <c r="D192">
        <v>60</v>
      </c>
      <c r="E192" t="str" cm="1">
        <f t="array" ref="E192">_xlfn.IFS(D192 &lt; 26, "Gen Z", D192 &lt;= 41, "Millennials", D192 &lt;= 57, "Gen X", D192 &gt;= 58, "Boomers")</f>
        <v>Boomers</v>
      </c>
      <c r="F192" t="s">
        <v>33</v>
      </c>
      <c r="G192" t="s">
        <v>41</v>
      </c>
      <c r="H192">
        <v>157612</v>
      </c>
      <c r="I192" t="str" cm="1">
        <f t="array" ref="I192">_xlfn.IFS(H192 &lt; 30000, "Low", H192 &lt; 60000, "Medium", H192 &lt; 100000, "High", H192 &gt;= 100000, "Premium")</f>
        <v>Premium</v>
      </c>
      <c r="J192" t="s">
        <v>13</v>
      </c>
      <c r="K192" s="1">
        <v>43780</v>
      </c>
      <c r="L192">
        <f t="shared" ca="1" si="4"/>
        <v>6</v>
      </c>
      <c r="M192" t="str" cm="1">
        <f t="array" aca="1" ref="M192" ca="1">_xlfn.IFS( L192 &lt;=2, "New", L192&lt;=6, "Engaged", L192 &gt;6, "Loyal")</f>
        <v>Engaged</v>
      </c>
      <c r="N192">
        <f t="shared" si="5"/>
        <v>2019</v>
      </c>
    </row>
    <row r="193" spans="1:14" x14ac:dyDescent="0.25">
      <c r="A193" t="s">
        <v>406</v>
      </c>
      <c r="B193" t="s">
        <v>407</v>
      </c>
      <c r="C193" t="s">
        <v>10</v>
      </c>
      <c r="D193">
        <v>54</v>
      </c>
      <c r="E193" t="str" cm="1">
        <f t="array" ref="E193">_xlfn.IFS(D193 &lt; 26, "Gen Z", D193 &lt;= 41, "Millennials", D193 &lt;= 57, "Gen X", D193 &gt;= 58, "Boomers")</f>
        <v>Gen X</v>
      </c>
      <c r="F193" t="s">
        <v>33</v>
      </c>
      <c r="G193" t="s">
        <v>36</v>
      </c>
      <c r="H193">
        <v>117768</v>
      </c>
      <c r="I193" t="str" cm="1">
        <f t="array" ref="I193">_xlfn.IFS(H193 &lt; 30000, "Low", H193 &lt; 60000, "Medium", H193 &lt; 100000, "High", H193 &gt;= 100000, "Premium")</f>
        <v>Premium</v>
      </c>
      <c r="J193" t="s">
        <v>13</v>
      </c>
      <c r="K193" s="1">
        <v>45891</v>
      </c>
      <c r="L193">
        <f t="shared" ca="1" si="4"/>
        <v>0</v>
      </c>
      <c r="M193" t="str" cm="1">
        <f t="array" aca="1" ref="M193" ca="1">_xlfn.IFS( L193 &lt;=2, "New", L193&lt;=6, "Engaged", L193 &gt;6, "Loyal")</f>
        <v>New</v>
      </c>
      <c r="N193">
        <f t="shared" si="5"/>
        <v>2025</v>
      </c>
    </row>
    <row r="194" spans="1:14" x14ac:dyDescent="0.25">
      <c r="A194" t="s">
        <v>408</v>
      </c>
      <c r="B194" t="s">
        <v>409</v>
      </c>
      <c r="C194" t="s">
        <v>10</v>
      </c>
      <c r="D194">
        <v>29</v>
      </c>
      <c r="E194" t="str" cm="1">
        <f t="array" ref="E194">_xlfn.IFS(D194 &lt; 26, "Gen Z", D194 &lt;= 41, "Millennials", D194 &lt;= 57, "Gen X", D194 &gt;= 58, "Boomers")</f>
        <v>Millennials</v>
      </c>
      <c r="F194" t="s">
        <v>33</v>
      </c>
      <c r="G194" t="s">
        <v>41</v>
      </c>
      <c r="H194">
        <v>61846</v>
      </c>
      <c r="I194" t="str" cm="1">
        <f t="array" ref="I194">_xlfn.IFS(H194 &lt; 30000, "Low", H194 &lt; 60000, "Medium", H194 &lt; 100000, "High", H194 &gt;= 100000, "Premium")</f>
        <v>High</v>
      </c>
      <c r="J194" t="s">
        <v>19</v>
      </c>
      <c r="K194" s="1">
        <v>44169</v>
      </c>
      <c r="L194">
        <f t="shared" ref="L194:L257" ca="1" si="6">DATEDIF(K194, TODAY(), "Y")</f>
        <v>5</v>
      </c>
      <c r="M194" t="str" cm="1">
        <f t="array" aca="1" ref="M194" ca="1">_xlfn.IFS( L194 &lt;=2, "New", L194&lt;=6, "Engaged", L194 &gt;6, "Loyal")</f>
        <v>Engaged</v>
      </c>
      <c r="N194">
        <f t="shared" ref="N194:N257" si="7">YEAR(K194)</f>
        <v>2020</v>
      </c>
    </row>
    <row r="195" spans="1:14" x14ac:dyDescent="0.25">
      <c r="A195" t="s">
        <v>410</v>
      </c>
      <c r="B195" t="s">
        <v>411</v>
      </c>
      <c r="C195" t="s">
        <v>10</v>
      </c>
      <c r="D195">
        <v>20</v>
      </c>
      <c r="E195" t="str" cm="1">
        <f t="array" ref="E195">_xlfn.IFS(D195 &lt; 26, "Gen Z", D195 &lt;= 41, "Millennials", D195 &lt;= 57, "Gen X", D195 &gt;= 58, "Boomers")</f>
        <v>Gen Z</v>
      </c>
      <c r="F195" t="s">
        <v>17</v>
      </c>
      <c r="G195" t="s">
        <v>26</v>
      </c>
      <c r="H195">
        <v>95932</v>
      </c>
      <c r="I195" t="str" cm="1">
        <f t="array" ref="I195">_xlfn.IFS(H195 &lt; 30000, "Low", H195 &lt; 60000, "Medium", H195 &lt; 100000, "High", H195 &gt;= 100000, "Premium")</f>
        <v>High</v>
      </c>
      <c r="J195" t="s">
        <v>13</v>
      </c>
      <c r="K195" s="1">
        <v>45446</v>
      </c>
      <c r="L195">
        <f t="shared" ca="1" si="6"/>
        <v>1</v>
      </c>
      <c r="M195" t="str" cm="1">
        <f t="array" aca="1" ref="M195" ca="1">_xlfn.IFS( L195 &lt;=2, "New", L195&lt;=6, "Engaged", L195 &gt;6, "Loyal")</f>
        <v>New</v>
      </c>
      <c r="N195">
        <f t="shared" si="7"/>
        <v>2024</v>
      </c>
    </row>
    <row r="196" spans="1:14" x14ac:dyDescent="0.25">
      <c r="A196" t="s">
        <v>412</v>
      </c>
      <c r="B196" t="s">
        <v>413</v>
      </c>
      <c r="C196" t="s">
        <v>10</v>
      </c>
      <c r="D196">
        <v>18</v>
      </c>
      <c r="E196" t="str" cm="1">
        <f t="array" ref="E196">_xlfn.IFS(D196 &lt; 26, "Gen Z", D196 &lt;= 41, "Millennials", D196 &lt;= 57, "Gen X", D196 &gt;= 58, "Boomers")</f>
        <v>Gen Z</v>
      </c>
      <c r="F196" t="s">
        <v>17</v>
      </c>
      <c r="G196" t="s">
        <v>12</v>
      </c>
      <c r="H196">
        <v>168554</v>
      </c>
      <c r="I196" t="str" cm="1">
        <f t="array" ref="I196">_xlfn.IFS(H196 &lt; 30000, "Low", H196 &lt; 60000, "Medium", H196 &lt; 100000, "High", H196 &gt;= 100000, "Premium")</f>
        <v>Premium</v>
      </c>
      <c r="J196" t="s">
        <v>19</v>
      </c>
      <c r="K196" s="1">
        <v>42269</v>
      </c>
      <c r="L196">
        <f t="shared" ca="1" si="6"/>
        <v>10</v>
      </c>
      <c r="M196" t="str" cm="1">
        <f t="array" aca="1" ref="M196" ca="1">_xlfn.IFS( L196 &lt;=2, "New", L196&lt;=6, "Engaged", L196 &gt;6, "Loyal")</f>
        <v>Loyal</v>
      </c>
      <c r="N196">
        <f t="shared" si="7"/>
        <v>2015</v>
      </c>
    </row>
    <row r="197" spans="1:14" x14ac:dyDescent="0.25">
      <c r="A197" t="s">
        <v>414</v>
      </c>
      <c r="B197" t="s">
        <v>415</v>
      </c>
      <c r="C197" t="s">
        <v>16</v>
      </c>
      <c r="D197">
        <v>50</v>
      </c>
      <c r="E197" t="str" cm="1">
        <f t="array" ref="E197">_xlfn.IFS(D197 &lt; 26, "Gen Z", D197 &lt;= 41, "Millennials", D197 &lt;= 57, "Gen X", D197 &gt;= 58, "Boomers")</f>
        <v>Gen X</v>
      </c>
      <c r="F197" t="s">
        <v>17</v>
      </c>
      <c r="G197" t="s">
        <v>26</v>
      </c>
      <c r="H197">
        <v>43411</v>
      </c>
      <c r="I197" t="str" cm="1">
        <f t="array" ref="I197">_xlfn.IFS(H197 &lt; 30000, "Low", H197 &lt; 60000, "Medium", H197 &lt; 100000, "High", H197 &gt;= 100000, "Premium")</f>
        <v>Medium</v>
      </c>
      <c r="J197" t="s">
        <v>19</v>
      </c>
      <c r="K197" s="1">
        <v>43612</v>
      </c>
      <c r="L197">
        <f t="shared" ca="1" si="6"/>
        <v>6</v>
      </c>
      <c r="M197" t="str" cm="1">
        <f t="array" aca="1" ref="M197" ca="1">_xlfn.IFS( L197 &lt;=2, "New", L197&lt;=6, "Engaged", L197 &gt;6, "Loyal")</f>
        <v>Engaged</v>
      </c>
      <c r="N197">
        <f t="shared" si="7"/>
        <v>2019</v>
      </c>
    </row>
    <row r="198" spans="1:14" x14ac:dyDescent="0.25">
      <c r="A198" t="s">
        <v>416</v>
      </c>
      <c r="B198" t="s">
        <v>417</v>
      </c>
      <c r="C198" t="s">
        <v>16</v>
      </c>
      <c r="D198">
        <v>57</v>
      </c>
      <c r="E198" t="str" cm="1">
        <f t="array" ref="E198">_xlfn.IFS(D198 &lt; 26, "Gen Z", D198 &lt;= 41, "Millennials", D198 &lt;= 57, "Gen X", D198 &gt;= 58, "Boomers")</f>
        <v>Gen X</v>
      </c>
      <c r="F198" t="s">
        <v>29</v>
      </c>
      <c r="G198" t="s">
        <v>12</v>
      </c>
      <c r="H198">
        <v>98797</v>
      </c>
      <c r="I198" t="str" cm="1">
        <f t="array" ref="I198">_xlfn.IFS(H198 &lt; 30000, "Low", H198 &lt; 60000, "Medium", H198 &lt; 100000, "High", H198 &gt;= 100000, "Premium")</f>
        <v>High</v>
      </c>
      <c r="J198" t="s">
        <v>23</v>
      </c>
      <c r="K198" s="1">
        <v>42402</v>
      </c>
      <c r="L198">
        <f t="shared" ca="1" si="6"/>
        <v>10</v>
      </c>
      <c r="M198" t="str" cm="1">
        <f t="array" aca="1" ref="M198" ca="1">_xlfn.IFS( L198 &lt;=2, "New", L198&lt;=6, "Engaged", L198 &gt;6, "Loyal")</f>
        <v>Loyal</v>
      </c>
      <c r="N198">
        <f t="shared" si="7"/>
        <v>2016</v>
      </c>
    </row>
    <row r="199" spans="1:14" x14ac:dyDescent="0.25">
      <c r="A199" t="s">
        <v>418</v>
      </c>
      <c r="B199" t="s">
        <v>419</v>
      </c>
      <c r="C199" t="s">
        <v>16</v>
      </c>
      <c r="D199">
        <v>27</v>
      </c>
      <c r="E199" t="str" cm="1">
        <f t="array" ref="E199">_xlfn.IFS(D199 &lt; 26, "Gen Z", D199 &lt;= 41, "Millennials", D199 &lt;= 57, "Gen X", D199 &gt;= 58, "Boomers")</f>
        <v>Millennials</v>
      </c>
      <c r="F199" t="s">
        <v>11</v>
      </c>
      <c r="G199" t="s">
        <v>18</v>
      </c>
      <c r="H199">
        <v>72307</v>
      </c>
      <c r="I199" t="str" cm="1">
        <f t="array" ref="I199">_xlfn.IFS(H199 &lt; 30000, "Low", H199 &lt; 60000, "Medium", H199 &lt; 100000, "High", H199 &gt;= 100000, "Premium")</f>
        <v>High</v>
      </c>
      <c r="J199" t="s">
        <v>13</v>
      </c>
      <c r="K199" s="1">
        <v>43945</v>
      </c>
      <c r="L199">
        <f t="shared" ca="1" si="6"/>
        <v>5</v>
      </c>
      <c r="M199" t="str" cm="1">
        <f t="array" aca="1" ref="M199" ca="1">_xlfn.IFS( L199 &lt;=2, "New", L199&lt;=6, "Engaged", L199 &gt;6, "Loyal")</f>
        <v>Engaged</v>
      </c>
      <c r="N199">
        <f t="shared" si="7"/>
        <v>2020</v>
      </c>
    </row>
    <row r="200" spans="1:14" x14ac:dyDescent="0.25">
      <c r="A200" t="s">
        <v>420</v>
      </c>
      <c r="B200" t="s">
        <v>421</v>
      </c>
      <c r="C200" t="s">
        <v>10</v>
      </c>
      <c r="D200">
        <v>60</v>
      </c>
      <c r="E200" t="str" cm="1">
        <f t="array" ref="E200">_xlfn.IFS(D200 &lt; 26, "Gen Z", D200 &lt;= 41, "Millennials", D200 &lt;= 57, "Gen X", D200 &gt;= 58, "Boomers")</f>
        <v>Boomers</v>
      </c>
      <c r="F200" t="s">
        <v>17</v>
      </c>
      <c r="G200" t="s">
        <v>26</v>
      </c>
      <c r="H200">
        <v>154165</v>
      </c>
      <c r="I200" t="str" cm="1">
        <f t="array" ref="I200">_xlfn.IFS(H200 &lt; 30000, "Low", H200 &lt; 60000, "Medium", H200 &lt; 100000, "High", H200 &gt;= 100000, "Premium")</f>
        <v>Premium</v>
      </c>
      <c r="J200" t="s">
        <v>13</v>
      </c>
      <c r="K200" s="1">
        <v>43118</v>
      </c>
      <c r="L200">
        <f t="shared" ca="1" si="6"/>
        <v>8</v>
      </c>
      <c r="M200" t="str" cm="1">
        <f t="array" aca="1" ref="M200" ca="1">_xlfn.IFS( L200 &lt;=2, "New", L200&lt;=6, "Engaged", L200 &gt;6, "Loyal")</f>
        <v>Loyal</v>
      </c>
      <c r="N200">
        <f t="shared" si="7"/>
        <v>2018</v>
      </c>
    </row>
    <row r="201" spans="1:14" x14ac:dyDescent="0.25">
      <c r="A201" t="s">
        <v>422</v>
      </c>
      <c r="B201" t="s">
        <v>423</v>
      </c>
      <c r="C201" t="s">
        <v>10</v>
      </c>
      <c r="D201">
        <v>61</v>
      </c>
      <c r="E201" t="str" cm="1">
        <f t="array" ref="E201">_xlfn.IFS(D201 &lt; 26, "Gen Z", D201 &lt;= 41, "Millennials", D201 &lt;= 57, "Gen X", D201 &gt;= 58, "Boomers")</f>
        <v>Boomers</v>
      </c>
      <c r="F201" t="s">
        <v>11</v>
      </c>
      <c r="G201" t="s">
        <v>18</v>
      </c>
      <c r="H201">
        <v>42042</v>
      </c>
      <c r="I201" t="str" cm="1">
        <f t="array" ref="I201">_xlfn.IFS(H201 &lt; 30000, "Low", H201 &lt; 60000, "Medium", H201 &lt; 100000, "High", H201 &gt;= 100000, "Premium")</f>
        <v>Medium</v>
      </c>
      <c r="J201" t="s">
        <v>13</v>
      </c>
      <c r="K201" s="1">
        <v>45365</v>
      </c>
      <c r="L201">
        <f t="shared" ca="1" si="6"/>
        <v>2</v>
      </c>
      <c r="M201" t="str" cm="1">
        <f t="array" aca="1" ref="M201" ca="1">_xlfn.IFS( L201 &lt;=2, "New", L201&lt;=6, "Engaged", L201 &gt;6, "Loyal")</f>
        <v>New</v>
      </c>
      <c r="N201">
        <f t="shared" si="7"/>
        <v>2024</v>
      </c>
    </row>
    <row r="202" spans="1:14" x14ac:dyDescent="0.25">
      <c r="A202" t="s">
        <v>424</v>
      </c>
      <c r="B202" t="s">
        <v>425</v>
      </c>
      <c r="C202" t="s">
        <v>10</v>
      </c>
      <c r="D202">
        <v>46</v>
      </c>
      <c r="E202" t="str" cm="1">
        <f t="array" ref="E202">_xlfn.IFS(D202 &lt; 26, "Gen Z", D202 &lt;= 41, "Millennials", D202 &lt;= 57, "Gen X", D202 &gt;= 58, "Boomers")</f>
        <v>Gen X</v>
      </c>
      <c r="F202" t="s">
        <v>29</v>
      </c>
      <c r="G202" t="s">
        <v>22</v>
      </c>
      <c r="H202">
        <v>72930</v>
      </c>
      <c r="I202" t="str" cm="1">
        <f t="array" ref="I202">_xlfn.IFS(H202 &lt; 30000, "Low", H202 &lt; 60000, "Medium", H202 &lt; 100000, "High", H202 &gt;= 100000, "Premium")</f>
        <v>High</v>
      </c>
      <c r="J202" t="s">
        <v>23</v>
      </c>
      <c r="K202" s="1">
        <v>42971</v>
      </c>
      <c r="L202">
        <f t="shared" ca="1" si="6"/>
        <v>8</v>
      </c>
      <c r="M202" t="str" cm="1">
        <f t="array" aca="1" ref="M202" ca="1">_xlfn.IFS( L202 &lt;=2, "New", L202&lt;=6, "Engaged", L202 &gt;6, "Loyal")</f>
        <v>Loyal</v>
      </c>
      <c r="N202">
        <f t="shared" si="7"/>
        <v>2017</v>
      </c>
    </row>
    <row r="203" spans="1:14" x14ac:dyDescent="0.25">
      <c r="A203" t="s">
        <v>426</v>
      </c>
      <c r="B203" t="s">
        <v>427</v>
      </c>
      <c r="C203" t="s">
        <v>16</v>
      </c>
      <c r="D203">
        <v>30</v>
      </c>
      <c r="E203" t="str" cm="1">
        <f t="array" ref="E203">_xlfn.IFS(D203 &lt; 26, "Gen Z", D203 &lt;= 41, "Millennials", D203 &lt;= 57, "Gen X", D203 &gt;= 58, "Boomers")</f>
        <v>Millennials</v>
      </c>
      <c r="F203" t="s">
        <v>33</v>
      </c>
      <c r="G203" t="s">
        <v>22</v>
      </c>
      <c r="H203">
        <v>195485</v>
      </c>
      <c r="I203" t="str" cm="1">
        <f t="array" ref="I203">_xlfn.IFS(H203 &lt; 30000, "Low", H203 &lt; 60000, "Medium", H203 &lt; 100000, "High", H203 &gt;= 100000, "Premium")</f>
        <v>Premium</v>
      </c>
      <c r="J203" t="s">
        <v>23</v>
      </c>
      <c r="K203" s="1">
        <v>43537</v>
      </c>
      <c r="L203">
        <f t="shared" ca="1" si="6"/>
        <v>7</v>
      </c>
      <c r="M203" t="str" cm="1">
        <f t="array" aca="1" ref="M203" ca="1">_xlfn.IFS( L203 &lt;=2, "New", L203&lt;=6, "Engaged", L203 &gt;6, "Loyal")</f>
        <v>Loyal</v>
      </c>
      <c r="N203">
        <f t="shared" si="7"/>
        <v>2019</v>
      </c>
    </row>
    <row r="204" spans="1:14" x14ac:dyDescent="0.25">
      <c r="A204" t="s">
        <v>428</v>
      </c>
      <c r="B204" t="s">
        <v>429</v>
      </c>
      <c r="C204" t="s">
        <v>10</v>
      </c>
      <c r="D204">
        <v>29</v>
      </c>
      <c r="E204" t="str" cm="1">
        <f t="array" ref="E204">_xlfn.IFS(D204 &lt; 26, "Gen Z", D204 &lt;= 41, "Millennials", D204 &lt;= 57, "Gen X", D204 &gt;= 58, "Boomers")</f>
        <v>Millennials</v>
      </c>
      <c r="F204" t="s">
        <v>17</v>
      </c>
      <c r="G204" t="s">
        <v>36</v>
      </c>
      <c r="H204">
        <v>117883</v>
      </c>
      <c r="I204" t="str" cm="1">
        <f t="array" ref="I204">_xlfn.IFS(H204 &lt; 30000, "Low", H204 &lt; 60000, "Medium", H204 &lt; 100000, "High", H204 &gt;= 100000, "Premium")</f>
        <v>Premium</v>
      </c>
      <c r="J204" t="s">
        <v>13</v>
      </c>
      <c r="K204" s="1">
        <v>45525</v>
      </c>
      <c r="L204">
        <f t="shared" ca="1" si="6"/>
        <v>1</v>
      </c>
      <c r="M204" t="str" cm="1">
        <f t="array" aca="1" ref="M204" ca="1">_xlfn.IFS( L204 &lt;=2, "New", L204&lt;=6, "Engaged", L204 &gt;6, "Loyal")</f>
        <v>New</v>
      </c>
      <c r="N204">
        <f t="shared" si="7"/>
        <v>2024</v>
      </c>
    </row>
    <row r="205" spans="1:14" x14ac:dyDescent="0.25">
      <c r="A205" t="s">
        <v>430</v>
      </c>
      <c r="B205" t="s">
        <v>431</v>
      </c>
      <c r="C205" t="s">
        <v>10</v>
      </c>
      <c r="D205">
        <v>48</v>
      </c>
      <c r="E205" t="str" cm="1">
        <f t="array" ref="E205">_xlfn.IFS(D205 &lt; 26, "Gen Z", D205 &lt;= 41, "Millennials", D205 &lt;= 57, "Gen X", D205 &gt;= 58, "Boomers")</f>
        <v>Gen X</v>
      </c>
      <c r="F205" t="s">
        <v>11</v>
      </c>
      <c r="G205" t="s">
        <v>41</v>
      </c>
      <c r="H205">
        <v>53756</v>
      </c>
      <c r="I205" t="str" cm="1">
        <f t="array" ref="I205">_xlfn.IFS(H205 &lt; 30000, "Low", H205 &lt; 60000, "Medium", H205 &lt; 100000, "High", H205 &gt;= 100000, "Premium")</f>
        <v>Medium</v>
      </c>
      <c r="J205" t="s">
        <v>19</v>
      </c>
      <c r="K205" s="1">
        <v>42533</v>
      </c>
      <c r="L205">
        <f t="shared" ca="1" si="6"/>
        <v>9</v>
      </c>
      <c r="M205" t="str" cm="1">
        <f t="array" aca="1" ref="M205" ca="1">_xlfn.IFS( L205 &lt;=2, "New", L205&lt;=6, "Engaged", L205 &gt;6, "Loyal")</f>
        <v>Loyal</v>
      </c>
      <c r="N205">
        <f t="shared" si="7"/>
        <v>2016</v>
      </c>
    </row>
    <row r="206" spans="1:14" x14ac:dyDescent="0.25">
      <c r="A206" t="s">
        <v>432</v>
      </c>
      <c r="B206" t="s">
        <v>433</v>
      </c>
      <c r="C206" t="s">
        <v>16</v>
      </c>
      <c r="D206">
        <v>63</v>
      </c>
      <c r="E206" t="str" cm="1">
        <f t="array" ref="E206">_xlfn.IFS(D206 &lt; 26, "Gen Z", D206 &lt;= 41, "Millennials", D206 &lt;= 57, "Gen X", D206 &gt;= 58, "Boomers")</f>
        <v>Boomers</v>
      </c>
      <c r="F206" t="s">
        <v>11</v>
      </c>
      <c r="G206" t="s">
        <v>26</v>
      </c>
      <c r="H206">
        <v>73268</v>
      </c>
      <c r="I206" t="str" cm="1">
        <f t="array" ref="I206">_xlfn.IFS(H206 &lt; 30000, "Low", H206 &lt; 60000, "Medium", H206 &lt; 100000, "High", H206 &gt;= 100000, "Premium")</f>
        <v>High</v>
      </c>
      <c r="J206" t="s">
        <v>13</v>
      </c>
      <c r="K206" s="1">
        <v>45587</v>
      </c>
      <c r="L206">
        <f t="shared" ca="1" si="6"/>
        <v>1</v>
      </c>
      <c r="M206" t="str" cm="1">
        <f t="array" aca="1" ref="M206" ca="1">_xlfn.IFS( L206 &lt;=2, "New", L206&lt;=6, "Engaged", L206 &gt;6, "Loyal")</f>
        <v>New</v>
      </c>
      <c r="N206">
        <f t="shared" si="7"/>
        <v>2024</v>
      </c>
    </row>
    <row r="207" spans="1:14" x14ac:dyDescent="0.25">
      <c r="A207" t="s">
        <v>434</v>
      </c>
      <c r="B207" t="s">
        <v>435</v>
      </c>
      <c r="C207" t="s">
        <v>10</v>
      </c>
      <c r="D207">
        <v>19</v>
      </c>
      <c r="E207" t="str" cm="1">
        <f t="array" ref="E207">_xlfn.IFS(D207 &lt; 26, "Gen Z", D207 &lt;= 41, "Millennials", D207 &lt;= 57, "Gen X", D207 &gt;= 58, "Boomers")</f>
        <v>Gen Z</v>
      </c>
      <c r="F207" t="s">
        <v>17</v>
      </c>
      <c r="G207" t="s">
        <v>18</v>
      </c>
      <c r="H207">
        <v>190286</v>
      </c>
      <c r="I207" t="str" cm="1">
        <f t="array" ref="I207">_xlfn.IFS(H207 &lt; 30000, "Low", H207 &lt; 60000, "Medium", H207 &lt; 100000, "High", H207 &gt;= 100000, "Premium")</f>
        <v>Premium</v>
      </c>
      <c r="J207" t="s">
        <v>19</v>
      </c>
      <c r="K207" s="1">
        <v>43918</v>
      </c>
      <c r="L207">
        <f t="shared" ca="1" si="6"/>
        <v>6</v>
      </c>
      <c r="M207" t="str" cm="1">
        <f t="array" aca="1" ref="M207" ca="1">_xlfn.IFS( L207 &lt;=2, "New", L207&lt;=6, "Engaged", L207 &gt;6, "Loyal")</f>
        <v>Engaged</v>
      </c>
      <c r="N207">
        <f t="shared" si="7"/>
        <v>2020</v>
      </c>
    </row>
    <row r="208" spans="1:14" x14ac:dyDescent="0.25">
      <c r="A208" t="s">
        <v>436</v>
      </c>
      <c r="B208" t="s">
        <v>437</v>
      </c>
      <c r="C208" t="s">
        <v>16</v>
      </c>
      <c r="D208">
        <v>68</v>
      </c>
      <c r="E208" t="str" cm="1">
        <f t="array" ref="E208">_xlfn.IFS(D208 &lt; 26, "Gen Z", D208 &lt;= 41, "Millennials", D208 &lt;= 57, "Gen X", D208 &gt;= 58, "Boomers")</f>
        <v>Boomers</v>
      </c>
      <c r="F208" t="s">
        <v>33</v>
      </c>
      <c r="G208" t="s">
        <v>12</v>
      </c>
      <c r="H208">
        <v>179674</v>
      </c>
      <c r="I208" t="str" cm="1">
        <f t="array" ref="I208">_xlfn.IFS(H208 &lt; 30000, "Low", H208 &lt; 60000, "Medium", H208 &lt; 100000, "High", H208 &gt;= 100000, "Premium")</f>
        <v>Premium</v>
      </c>
      <c r="J208" t="s">
        <v>13</v>
      </c>
      <c r="K208" s="1">
        <v>43431</v>
      </c>
      <c r="L208">
        <f t="shared" ca="1" si="6"/>
        <v>7</v>
      </c>
      <c r="M208" t="str" cm="1">
        <f t="array" aca="1" ref="M208" ca="1">_xlfn.IFS( L208 &lt;=2, "New", L208&lt;=6, "Engaged", L208 &gt;6, "Loyal")</f>
        <v>Loyal</v>
      </c>
      <c r="N208">
        <f t="shared" si="7"/>
        <v>2018</v>
      </c>
    </row>
    <row r="209" spans="1:14" x14ac:dyDescent="0.25">
      <c r="A209" t="s">
        <v>438</v>
      </c>
      <c r="B209" t="s">
        <v>439</v>
      </c>
      <c r="C209" t="s">
        <v>16</v>
      </c>
      <c r="D209">
        <v>67</v>
      </c>
      <c r="E209" t="str" cm="1">
        <f t="array" ref="E209">_xlfn.IFS(D209 &lt; 26, "Gen Z", D209 &lt;= 41, "Millennials", D209 &lt;= 57, "Gen X", D209 &gt;= 58, "Boomers")</f>
        <v>Boomers</v>
      </c>
      <c r="F209" t="s">
        <v>33</v>
      </c>
      <c r="G209" t="s">
        <v>22</v>
      </c>
      <c r="H209">
        <v>68901</v>
      </c>
      <c r="I209" t="str" cm="1">
        <f t="array" ref="I209">_xlfn.IFS(H209 &lt; 30000, "Low", H209 &lt; 60000, "Medium", H209 &lt; 100000, "High", H209 &gt;= 100000, "Premium")</f>
        <v>High</v>
      </c>
      <c r="J209" t="s">
        <v>19</v>
      </c>
      <c r="K209" s="1">
        <v>44644</v>
      </c>
      <c r="L209">
        <f t="shared" ca="1" si="6"/>
        <v>4</v>
      </c>
      <c r="M209" t="str" cm="1">
        <f t="array" aca="1" ref="M209" ca="1">_xlfn.IFS( L209 &lt;=2, "New", L209&lt;=6, "Engaged", L209 &gt;6, "Loyal")</f>
        <v>Engaged</v>
      </c>
      <c r="N209">
        <f t="shared" si="7"/>
        <v>2022</v>
      </c>
    </row>
    <row r="210" spans="1:14" x14ac:dyDescent="0.25">
      <c r="A210" t="s">
        <v>440</v>
      </c>
      <c r="B210" t="s">
        <v>441</v>
      </c>
      <c r="C210" t="s">
        <v>16</v>
      </c>
      <c r="D210">
        <v>52</v>
      </c>
      <c r="E210" t="str" cm="1">
        <f t="array" ref="E210">_xlfn.IFS(D210 &lt; 26, "Gen Z", D210 &lt;= 41, "Millennials", D210 &lt;= 57, "Gen X", D210 &gt;= 58, "Boomers")</f>
        <v>Gen X</v>
      </c>
      <c r="F210" t="s">
        <v>33</v>
      </c>
      <c r="G210" t="s">
        <v>41</v>
      </c>
      <c r="H210">
        <v>119986</v>
      </c>
      <c r="I210" t="str" cm="1">
        <f t="array" ref="I210">_xlfn.IFS(H210 &lt; 30000, "Low", H210 &lt; 60000, "Medium", H210 &lt; 100000, "High", H210 &gt;= 100000, "Premium")</f>
        <v>Premium</v>
      </c>
      <c r="J210" t="s">
        <v>13</v>
      </c>
      <c r="K210" s="1">
        <v>43935</v>
      </c>
      <c r="L210">
        <f t="shared" ca="1" si="6"/>
        <v>6</v>
      </c>
      <c r="M210" t="str" cm="1">
        <f t="array" aca="1" ref="M210" ca="1">_xlfn.IFS( L210 &lt;=2, "New", L210&lt;=6, "Engaged", L210 &gt;6, "Loyal")</f>
        <v>Engaged</v>
      </c>
      <c r="N210">
        <f t="shared" si="7"/>
        <v>2020</v>
      </c>
    </row>
    <row r="211" spans="1:14" x14ac:dyDescent="0.25">
      <c r="A211" t="s">
        <v>442</v>
      </c>
      <c r="B211" t="s">
        <v>443</v>
      </c>
      <c r="C211" t="s">
        <v>10</v>
      </c>
      <c r="D211">
        <v>40</v>
      </c>
      <c r="E211" t="str" cm="1">
        <f t="array" ref="E211">_xlfn.IFS(D211 &lt; 26, "Gen Z", D211 &lt;= 41, "Millennials", D211 &lt;= 57, "Gen X", D211 &gt;= 58, "Boomers")</f>
        <v>Millennials</v>
      </c>
      <c r="F211" t="s">
        <v>29</v>
      </c>
      <c r="G211" t="s">
        <v>22</v>
      </c>
      <c r="H211">
        <v>183268</v>
      </c>
      <c r="I211" t="str" cm="1">
        <f t="array" ref="I211">_xlfn.IFS(H211 &lt; 30000, "Low", H211 &lt; 60000, "Medium", H211 &lt; 100000, "High", H211 &gt;= 100000, "Premium")</f>
        <v>Premium</v>
      </c>
      <c r="J211" t="s">
        <v>19</v>
      </c>
      <c r="K211" s="1">
        <v>43742</v>
      </c>
      <c r="L211">
        <f t="shared" ca="1" si="6"/>
        <v>6</v>
      </c>
      <c r="M211" t="str" cm="1">
        <f t="array" aca="1" ref="M211" ca="1">_xlfn.IFS( L211 &lt;=2, "New", L211&lt;=6, "Engaged", L211 &gt;6, "Loyal")</f>
        <v>Engaged</v>
      </c>
      <c r="N211">
        <f t="shared" si="7"/>
        <v>2019</v>
      </c>
    </row>
    <row r="212" spans="1:14" x14ac:dyDescent="0.25">
      <c r="A212" t="s">
        <v>444</v>
      </c>
      <c r="B212" t="s">
        <v>445</v>
      </c>
      <c r="C212" t="s">
        <v>10</v>
      </c>
      <c r="D212">
        <v>34</v>
      </c>
      <c r="E212" t="str" cm="1">
        <f t="array" ref="E212">_xlfn.IFS(D212 &lt; 26, "Gen Z", D212 &lt;= 41, "Millennials", D212 &lt;= 57, "Gen X", D212 &gt;= 58, "Boomers")</f>
        <v>Millennials</v>
      </c>
      <c r="F212" t="s">
        <v>11</v>
      </c>
      <c r="G212" t="s">
        <v>12</v>
      </c>
      <c r="H212">
        <v>148386</v>
      </c>
      <c r="I212" t="str" cm="1">
        <f t="array" ref="I212">_xlfn.IFS(H212 &lt; 30000, "Low", H212 &lt; 60000, "Medium", H212 &lt; 100000, "High", H212 &gt;= 100000, "Premium")</f>
        <v>Premium</v>
      </c>
      <c r="J212" t="s">
        <v>19</v>
      </c>
      <c r="K212" s="1">
        <v>43881</v>
      </c>
      <c r="L212">
        <f t="shared" ca="1" si="6"/>
        <v>6</v>
      </c>
      <c r="M212" t="str" cm="1">
        <f t="array" aca="1" ref="M212" ca="1">_xlfn.IFS( L212 &lt;=2, "New", L212&lt;=6, "Engaged", L212 &gt;6, "Loyal")</f>
        <v>Engaged</v>
      </c>
      <c r="N212">
        <f t="shared" si="7"/>
        <v>2020</v>
      </c>
    </row>
    <row r="213" spans="1:14" x14ac:dyDescent="0.25">
      <c r="A213" t="s">
        <v>446</v>
      </c>
      <c r="B213" t="s">
        <v>447</v>
      </c>
      <c r="C213" t="s">
        <v>10</v>
      </c>
      <c r="D213">
        <v>43</v>
      </c>
      <c r="E213" t="str" cm="1">
        <f t="array" ref="E213">_xlfn.IFS(D213 &lt; 26, "Gen Z", D213 &lt;= 41, "Millennials", D213 &lt;= 57, "Gen X", D213 &gt;= 58, "Boomers")</f>
        <v>Gen X</v>
      </c>
      <c r="F213" t="s">
        <v>11</v>
      </c>
      <c r="G213" t="s">
        <v>41</v>
      </c>
      <c r="H213">
        <v>25626</v>
      </c>
      <c r="I213" t="str" cm="1">
        <f t="array" ref="I213">_xlfn.IFS(H213 &lt; 30000, "Low", H213 &lt; 60000, "Medium", H213 &lt; 100000, "High", H213 &gt;= 100000, "Premium")</f>
        <v>Low</v>
      </c>
      <c r="J213" t="s">
        <v>19</v>
      </c>
      <c r="K213" s="1">
        <v>43477</v>
      </c>
      <c r="L213">
        <f t="shared" ca="1" si="6"/>
        <v>7</v>
      </c>
      <c r="M213" t="str" cm="1">
        <f t="array" aca="1" ref="M213" ca="1">_xlfn.IFS( L213 &lt;=2, "New", L213&lt;=6, "Engaged", L213 &gt;6, "Loyal")</f>
        <v>Loyal</v>
      </c>
      <c r="N213">
        <f t="shared" si="7"/>
        <v>2019</v>
      </c>
    </row>
    <row r="214" spans="1:14" x14ac:dyDescent="0.25">
      <c r="A214" t="s">
        <v>448</v>
      </c>
      <c r="B214" t="s">
        <v>449</v>
      </c>
      <c r="C214" t="s">
        <v>10</v>
      </c>
      <c r="D214">
        <v>25</v>
      </c>
      <c r="E214" t="str" cm="1">
        <f t="array" ref="E214">_xlfn.IFS(D214 &lt; 26, "Gen Z", D214 &lt;= 41, "Millennials", D214 &lt;= 57, "Gen X", D214 &gt;= 58, "Boomers")</f>
        <v>Gen Z</v>
      </c>
      <c r="F214" t="s">
        <v>11</v>
      </c>
      <c r="G214" t="s">
        <v>41</v>
      </c>
      <c r="H214">
        <v>158496</v>
      </c>
      <c r="I214" t="str" cm="1">
        <f t="array" ref="I214">_xlfn.IFS(H214 &lt; 30000, "Low", H214 &lt; 60000, "Medium", H214 &lt; 100000, "High", H214 &gt;= 100000, "Premium")</f>
        <v>Premium</v>
      </c>
      <c r="J214" t="s">
        <v>13</v>
      </c>
      <c r="K214" s="1">
        <v>42973</v>
      </c>
      <c r="L214">
        <f t="shared" ca="1" si="6"/>
        <v>8</v>
      </c>
      <c r="M214" t="str" cm="1">
        <f t="array" aca="1" ref="M214" ca="1">_xlfn.IFS( L214 &lt;=2, "New", L214&lt;=6, "Engaged", L214 &gt;6, "Loyal")</f>
        <v>Loyal</v>
      </c>
      <c r="N214">
        <f t="shared" si="7"/>
        <v>2017</v>
      </c>
    </row>
    <row r="215" spans="1:14" x14ac:dyDescent="0.25">
      <c r="A215" t="s">
        <v>450</v>
      </c>
      <c r="B215" t="s">
        <v>451</v>
      </c>
      <c r="C215" t="s">
        <v>10</v>
      </c>
      <c r="D215">
        <v>46</v>
      </c>
      <c r="E215" t="str" cm="1">
        <f t="array" ref="E215">_xlfn.IFS(D215 &lt; 26, "Gen Z", D215 &lt;= 41, "Millennials", D215 &lt;= 57, "Gen X", D215 &gt;= 58, "Boomers")</f>
        <v>Gen X</v>
      </c>
      <c r="F215" t="s">
        <v>29</v>
      </c>
      <c r="G215" t="s">
        <v>18</v>
      </c>
      <c r="H215">
        <v>32857</v>
      </c>
      <c r="I215" t="str" cm="1">
        <f t="array" ref="I215">_xlfn.IFS(H215 &lt; 30000, "Low", H215 &lt; 60000, "Medium", H215 &lt; 100000, "High", H215 &gt;= 100000, "Premium")</f>
        <v>Medium</v>
      </c>
      <c r="J215" t="s">
        <v>13</v>
      </c>
      <c r="K215" s="1">
        <v>44799</v>
      </c>
      <c r="L215">
        <f t="shared" ca="1" si="6"/>
        <v>3</v>
      </c>
      <c r="M215" t="str" cm="1">
        <f t="array" aca="1" ref="M215" ca="1">_xlfn.IFS( L215 &lt;=2, "New", L215&lt;=6, "Engaged", L215 &gt;6, "Loyal")</f>
        <v>Engaged</v>
      </c>
      <c r="N215">
        <f t="shared" si="7"/>
        <v>2022</v>
      </c>
    </row>
    <row r="216" spans="1:14" x14ac:dyDescent="0.25">
      <c r="A216" t="s">
        <v>452</v>
      </c>
      <c r="B216" t="s">
        <v>453</v>
      </c>
      <c r="C216" t="s">
        <v>10</v>
      </c>
      <c r="D216">
        <v>43</v>
      </c>
      <c r="E216" t="str" cm="1">
        <f t="array" ref="E216">_xlfn.IFS(D216 &lt; 26, "Gen Z", D216 &lt;= 41, "Millennials", D216 &lt;= 57, "Gen X", D216 &gt;= 58, "Boomers")</f>
        <v>Gen X</v>
      </c>
      <c r="F216" t="s">
        <v>11</v>
      </c>
      <c r="G216" t="s">
        <v>18</v>
      </c>
      <c r="H216">
        <v>171054</v>
      </c>
      <c r="I216" t="str" cm="1">
        <f t="array" ref="I216">_xlfn.IFS(H216 &lt; 30000, "Low", H216 &lt; 60000, "Medium", H216 &lt; 100000, "High", H216 &gt;= 100000, "Premium")</f>
        <v>Premium</v>
      </c>
      <c r="J216" t="s">
        <v>13</v>
      </c>
      <c r="K216" s="1">
        <v>43877</v>
      </c>
      <c r="L216">
        <f t="shared" ca="1" si="6"/>
        <v>6</v>
      </c>
      <c r="M216" t="str" cm="1">
        <f t="array" aca="1" ref="M216" ca="1">_xlfn.IFS( L216 &lt;=2, "New", L216&lt;=6, "Engaged", L216 &gt;6, "Loyal")</f>
        <v>Engaged</v>
      </c>
      <c r="N216">
        <f t="shared" si="7"/>
        <v>2020</v>
      </c>
    </row>
    <row r="217" spans="1:14" x14ac:dyDescent="0.25">
      <c r="A217" t="s">
        <v>454</v>
      </c>
      <c r="B217" t="s">
        <v>455</v>
      </c>
      <c r="C217" t="s">
        <v>10</v>
      </c>
      <c r="D217">
        <v>27</v>
      </c>
      <c r="E217" t="str" cm="1">
        <f t="array" ref="E217">_xlfn.IFS(D217 &lt; 26, "Gen Z", D217 &lt;= 41, "Millennials", D217 &lt;= 57, "Gen X", D217 &gt;= 58, "Boomers")</f>
        <v>Millennials</v>
      </c>
      <c r="F217" t="s">
        <v>29</v>
      </c>
      <c r="G217" t="s">
        <v>26</v>
      </c>
      <c r="H217">
        <v>153052</v>
      </c>
      <c r="I217" t="str" cm="1">
        <f t="array" ref="I217">_xlfn.IFS(H217 &lt; 30000, "Low", H217 &lt; 60000, "Medium", H217 &lt; 100000, "High", H217 &gt;= 100000, "Premium")</f>
        <v>Premium</v>
      </c>
      <c r="J217" t="s">
        <v>13</v>
      </c>
      <c r="K217" s="1">
        <v>42311</v>
      </c>
      <c r="L217">
        <f t="shared" ca="1" si="6"/>
        <v>10</v>
      </c>
      <c r="M217" t="str" cm="1">
        <f t="array" aca="1" ref="M217" ca="1">_xlfn.IFS( L217 &lt;=2, "New", L217&lt;=6, "Engaged", L217 &gt;6, "Loyal")</f>
        <v>Loyal</v>
      </c>
      <c r="N217">
        <f t="shared" si="7"/>
        <v>2015</v>
      </c>
    </row>
    <row r="218" spans="1:14" x14ac:dyDescent="0.25">
      <c r="A218" t="s">
        <v>456</v>
      </c>
      <c r="B218" t="s">
        <v>457</v>
      </c>
      <c r="C218" t="s">
        <v>16</v>
      </c>
      <c r="D218">
        <v>43</v>
      </c>
      <c r="E218" t="str" cm="1">
        <f t="array" ref="E218">_xlfn.IFS(D218 &lt; 26, "Gen Z", D218 &lt;= 41, "Millennials", D218 &lt;= 57, "Gen X", D218 &gt;= 58, "Boomers")</f>
        <v>Gen X</v>
      </c>
      <c r="F218" t="s">
        <v>33</v>
      </c>
      <c r="G218" t="s">
        <v>26</v>
      </c>
      <c r="H218">
        <v>199362</v>
      </c>
      <c r="I218" t="str" cm="1">
        <f t="array" ref="I218">_xlfn.IFS(H218 &lt; 30000, "Low", H218 &lt; 60000, "Medium", H218 &lt; 100000, "High", H218 &gt;= 100000, "Premium")</f>
        <v>Premium</v>
      </c>
      <c r="J218" t="s">
        <v>13</v>
      </c>
      <c r="K218" s="1">
        <v>45083</v>
      </c>
      <c r="L218">
        <f t="shared" ca="1" si="6"/>
        <v>2</v>
      </c>
      <c r="M218" t="str" cm="1">
        <f t="array" aca="1" ref="M218" ca="1">_xlfn.IFS( L218 &lt;=2, "New", L218&lt;=6, "Engaged", L218 &gt;6, "Loyal")</f>
        <v>New</v>
      </c>
      <c r="N218">
        <f t="shared" si="7"/>
        <v>2023</v>
      </c>
    </row>
    <row r="219" spans="1:14" x14ac:dyDescent="0.25">
      <c r="A219" t="s">
        <v>458</v>
      </c>
      <c r="B219" t="s">
        <v>459</v>
      </c>
      <c r="C219" t="s">
        <v>10</v>
      </c>
      <c r="D219">
        <v>51</v>
      </c>
      <c r="E219" t="str" cm="1">
        <f t="array" ref="E219">_xlfn.IFS(D219 &lt; 26, "Gen Z", D219 &lt;= 41, "Millennials", D219 &lt;= 57, "Gen X", D219 &gt;= 58, "Boomers")</f>
        <v>Gen X</v>
      </c>
      <c r="F219" t="s">
        <v>17</v>
      </c>
      <c r="G219" t="s">
        <v>30</v>
      </c>
      <c r="H219">
        <v>46431</v>
      </c>
      <c r="I219" t="str" cm="1">
        <f t="array" ref="I219">_xlfn.IFS(H219 &lt; 30000, "Low", H219 &lt; 60000, "Medium", H219 &lt; 100000, "High", H219 &gt;= 100000, "Premium")</f>
        <v>Medium</v>
      </c>
      <c r="J219" t="s">
        <v>23</v>
      </c>
      <c r="K219" s="1">
        <v>42586</v>
      </c>
      <c r="L219">
        <f t="shared" ca="1" si="6"/>
        <v>9</v>
      </c>
      <c r="M219" t="str" cm="1">
        <f t="array" aca="1" ref="M219" ca="1">_xlfn.IFS( L219 &lt;=2, "New", L219&lt;=6, "Engaged", L219 &gt;6, "Loyal")</f>
        <v>Loyal</v>
      </c>
      <c r="N219">
        <f t="shared" si="7"/>
        <v>2016</v>
      </c>
    </row>
    <row r="220" spans="1:14" x14ac:dyDescent="0.25">
      <c r="A220" t="s">
        <v>460</v>
      </c>
      <c r="B220" t="s">
        <v>461</v>
      </c>
      <c r="C220" t="s">
        <v>16</v>
      </c>
      <c r="D220">
        <v>68</v>
      </c>
      <c r="E220" t="str" cm="1">
        <f t="array" ref="E220">_xlfn.IFS(D220 &lt; 26, "Gen Z", D220 &lt;= 41, "Millennials", D220 &lt;= 57, "Gen X", D220 &gt;= 58, "Boomers")</f>
        <v>Boomers</v>
      </c>
      <c r="F220" t="s">
        <v>11</v>
      </c>
      <c r="G220" t="s">
        <v>30</v>
      </c>
      <c r="H220">
        <v>104976</v>
      </c>
      <c r="I220" t="str" cm="1">
        <f t="array" ref="I220">_xlfn.IFS(H220 &lt; 30000, "Low", H220 &lt; 60000, "Medium", H220 &lt; 100000, "High", H220 &gt;= 100000, "Premium")</f>
        <v>Premium</v>
      </c>
      <c r="J220" t="s">
        <v>13</v>
      </c>
      <c r="K220" s="1">
        <v>43719</v>
      </c>
      <c r="L220">
        <f t="shared" ca="1" si="6"/>
        <v>6</v>
      </c>
      <c r="M220" t="str" cm="1">
        <f t="array" aca="1" ref="M220" ca="1">_xlfn.IFS( L220 &lt;=2, "New", L220&lt;=6, "Engaged", L220 &gt;6, "Loyal")</f>
        <v>Engaged</v>
      </c>
      <c r="N220">
        <f t="shared" si="7"/>
        <v>2019</v>
      </c>
    </row>
    <row r="221" spans="1:14" x14ac:dyDescent="0.25">
      <c r="A221" t="s">
        <v>462</v>
      </c>
      <c r="B221" t="s">
        <v>463</v>
      </c>
      <c r="C221" t="s">
        <v>10</v>
      </c>
      <c r="D221">
        <v>58</v>
      </c>
      <c r="E221" t="str" cm="1">
        <f t="array" ref="E221">_xlfn.IFS(D221 &lt; 26, "Gen Z", D221 &lt;= 41, "Millennials", D221 &lt;= 57, "Gen X", D221 &gt;= 58, "Boomers")</f>
        <v>Boomers</v>
      </c>
      <c r="F221" t="s">
        <v>11</v>
      </c>
      <c r="G221" t="s">
        <v>36</v>
      </c>
      <c r="H221">
        <v>102711</v>
      </c>
      <c r="I221" t="str" cm="1">
        <f t="array" ref="I221">_xlfn.IFS(H221 &lt; 30000, "Low", H221 &lt; 60000, "Medium", H221 &lt; 100000, "High", H221 &gt;= 100000, "Premium")</f>
        <v>Premium</v>
      </c>
      <c r="J221" t="s">
        <v>13</v>
      </c>
      <c r="K221" s="1">
        <v>45427</v>
      </c>
      <c r="L221">
        <f t="shared" ca="1" si="6"/>
        <v>1</v>
      </c>
      <c r="M221" t="str" cm="1">
        <f t="array" aca="1" ref="M221" ca="1">_xlfn.IFS( L221 &lt;=2, "New", L221&lt;=6, "Engaged", L221 &gt;6, "Loyal")</f>
        <v>New</v>
      </c>
      <c r="N221">
        <f t="shared" si="7"/>
        <v>2024</v>
      </c>
    </row>
    <row r="222" spans="1:14" x14ac:dyDescent="0.25">
      <c r="A222" t="s">
        <v>464</v>
      </c>
      <c r="B222" t="s">
        <v>465</v>
      </c>
      <c r="C222" t="s">
        <v>10</v>
      </c>
      <c r="D222">
        <v>24</v>
      </c>
      <c r="E222" t="str" cm="1">
        <f t="array" ref="E222">_xlfn.IFS(D222 &lt; 26, "Gen Z", D222 &lt;= 41, "Millennials", D222 &lt;= 57, "Gen X", D222 &gt;= 58, "Boomers")</f>
        <v>Gen Z</v>
      </c>
      <c r="F222" t="s">
        <v>33</v>
      </c>
      <c r="G222" t="s">
        <v>22</v>
      </c>
      <c r="H222">
        <v>46385</v>
      </c>
      <c r="I222" t="str" cm="1">
        <f t="array" ref="I222">_xlfn.IFS(H222 &lt; 30000, "Low", H222 &lt; 60000, "Medium", H222 &lt; 100000, "High", H222 &gt;= 100000, "Premium")</f>
        <v>Medium</v>
      </c>
      <c r="J222" t="s">
        <v>13</v>
      </c>
      <c r="K222" s="1">
        <v>43046</v>
      </c>
      <c r="L222">
        <f t="shared" ca="1" si="6"/>
        <v>8</v>
      </c>
      <c r="M222" t="str" cm="1">
        <f t="array" aca="1" ref="M222" ca="1">_xlfn.IFS( L222 &lt;=2, "New", L222&lt;=6, "Engaged", L222 &gt;6, "Loyal")</f>
        <v>Loyal</v>
      </c>
      <c r="N222">
        <f t="shared" si="7"/>
        <v>2017</v>
      </c>
    </row>
    <row r="223" spans="1:14" x14ac:dyDescent="0.25">
      <c r="A223" t="s">
        <v>466</v>
      </c>
      <c r="B223" t="s">
        <v>467</v>
      </c>
      <c r="C223" t="s">
        <v>10</v>
      </c>
      <c r="D223">
        <v>21</v>
      </c>
      <c r="E223" t="str" cm="1">
        <f t="array" ref="E223">_xlfn.IFS(D223 &lt; 26, "Gen Z", D223 &lt;= 41, "Millennials", D223 &lt;= 57, "Gen X", D223 &gt;= 58, "Boomers")</f>
        <v>Gen Z</v>
      </c>
      <c r="F223" t="s">
        <v>17</v>
      </c>
      <c r="G223" t="s">
        <v>26</v>
      </c>
      <c r="H223">
        <v>189230</v>
      </c>
      <c r="I223" t="str" cm="1">
        <f t="array" ref="I223">_xlfn.IFS(H223 &lt; 30000, "Low", H223 &lt; 60000, "Medium", H223 &lt; 100000, "High", H223 &gt;= 100000, "Premium")</f>
        <v>Premium</v>
      </c>
      <c r="J223" t="s">
        <v>13</v>
      </c>
      <c r="K223" s="1">
        <v>45495</v>
      </c>
      <c r="L223">
        <f t="shared" ca="1" si="6"/>
        <v>1</v>
      </c>
      <c r="M223" t="str" cm="1">
        <f t="array" aca="1" ref="M223" ca="1">_xlfn.IFS( L223 &lt;=2, "New", L223&lt;=6, "Engaged", L223 &gt;6, "Loyal")</f>
        <v>New</v>
      </c>
      <c r="N223">
        <f t="shared" si="7"/>
        <v>2024</v>
      </c>
    </row>
    <row r="224" spans="1:14" x14ac:dyDescent="0.25">
      <c r="A224" t="s">
        <v>468</v>
      </c>
      <c r="B224" t="s">
        <v>469</v>
      </c>
      <c r="C224" t="s">
        <v>16</v>
      </c>
      <c r="D224">
        <v>70</v>
      </c>
      <c r="E224" t="str" cm="1">
        <f t="array" ref="E224">_xlfn.IFS(D224 &lt; 26, "Gen Z", D224 &lt;= 41, "Millennials", D224 &lt;= 57, "Gen X", D224 &gt;= 58, "Boomers")</f>
        <v>Boomers</v>
      </c>
      <c r="F224" t="s">
        <v>29</v>
      </c>
      <c r="G224" t="s">
        <v>18</v>
      </c>
      <c r="H224">
        <v>174091</v>
      </c>
      <c r="I224" t="str" cm="1">
        <f t="array" ref="I224">_xlfn.IFS(H224 &lt; 30000, "Low", H224 &lt; 60000, "Medium", H224 &lt; 100000, "High", H224 &gt;= 100000, "Premium")</f>
        <v>Premium</v>
      </c>
      <c r="J224" t="s">
        <v>19</v>
      </c>
      <c r="K224" s="1">
        <v>42378</v>
      </c>
      <c r="L224">
        <f t="shared" ca="1" si="6"/>
        <v>10</v>
      </c>
      <c r="M224" t="str" cm="1">
        <f t="array" aca="1" ref="M224" ca="1">_xlfn.IFS( L224 &lt;=2, "New", L224&lt;=6, "Engaged", L224 &gt;6, "Loyal")</f>
        <v>Loyal</v>
      </c>
      <c r="N224">
        <f t="shared" si="7"/>
        <v>2016</v>
      </c>
    </row>
    <row r="225" spans="1:14" x14ac:dyDescent="0.25">
      <c r="A225" t="s">
        <v>470</v>
      </c>
      <c r="B225" t="s">
        <v>471</v>
      </c>
      <c r="C225" t="s">
        <v>16</v>
      </c>
      <c r="D225">
        <v>67</v>
      </c>
      <c r="E225" t="str" cm="1">
        <f t="array" ref="E225">_xlfn.IFS(D225 &lt; 26, "Gen Z", D225 &lt;= 41, "Millennials", D225 &lt;= 57, "Gen X", D225 &gt;= 58, "Boomers")</f>
        <v>Boomers</v>
      </c>
      <c r="F225" t="s">
        <v>17</v>
      </c>
      <c r="G225" t="s">
        <v>12</v>
      </c>
      <c r="H225">
        <v>38639</v>
      </c>
      <c r="I225" t="str" cm="1">
        <f t="array" ref="I225">_xlfn.IFS(H225 &lt; 30000, "Low", H225 &lt; 60000, "Medium", H225 &lt; 100000, "High", H225 &gt;= 100000, "Premium")</f>
        <v>Medium</v>
      </c>
      <c r="J225" t="s">
        <v>13</v>
      </c>
      <c r="K225" s="1">
        <v>42653</v>
      </c>
      <c r="L225">
        <f t="shared" ca="1" si="6"/>
        <v>9</v>
      </c>
      <c r="M225" t="str" cm="1">
        <f t="array" aca="1" ref="M225" ca="1">_xlfn.IFS( L225 &lt;=2, "New", L225&lt;=6, "Engaged", L225 &gt;6, "Loyal")</f>
        <v>Loyal</v>
      </c>
      <c r="N225">
        <f t="shared" si="7"/>
        <v>2016</v>
      </c>
    </row>
    <row r="226" spans="1:14" x14ac:dyDescent="0.25">
      <c r="A226" t="s">
        <v>472</v>
      </c>
      <c r="B226" t="s">
        <v>473</v>
      </c>
      <c r="C226" t="s">
        <v>16</v>
      </c>
      <c r="D226">
        <v>62</v>
      </c>
      <c r="E226" t="str" cm="1">
        <f t="array" ref="E226">_xlfn.IFS(D226 &lt; 26, "Gen Z", D226 &lt;= 41, "Millennials", D226 &lt;= 57, "Gen X", D226 &gt;= 58, "Boomers")</f>
        <v>Boomers</v>
      </c>
      <c r="F226" t="s">
        <v>33</v>
      </c>
      <c r="G226" t="s">
        <v>18</v>
      </c>
      <c r="H226">
        <v>105530</v>
      </c>
      <c r="I226" t="str" cm="1">
        <f t="array" ref="I226">_xlfn.IFS(H226 &lt; 30000, "Low", H226 &lt; 60000, "Medium", H226 &lt; 100000, "High", H226 &gt;= 100000, "Premium")</f>
        <v>Premium</v>
      </c>
      <c r="J226" t="s">
        <v>23</v>
      </c>
      <c r="K226" s="1">
        <v>43070</v>
      </c>
      <c r="L226">
        <f t="shared" ca="1" si="6"/>
        <v>8</v>
      </c>
      <c r="M226" t="str" cm="1">
        <f t="array" aca="1" ref="M226" ca="1">_xlfn.IFS( L226 &lt;=2, "New", L226&lt;=6, "Engaged", L226 &gt;6, "Loyal")</f>
        <v>Loyal</v>
      </c>
      <c r="N226">
        <f t="shared" si="7"/>
        <v>2017</v>
      </c>
    </row>
    <row r="227" spans="1:14" x14ac:dyDescent="0.25">
      <c r="A227" t="s">
        <v>474</v>
      </c>
      <c r="B227" t="s">
        <v>475</v>
      </c>
      <c r="C227" t="s">
        <v>16</v>
      </c>
      <c r="D227">
        <v>28</v>
      </c>
      <c r="E227" t="str" cm="1">
        <f t="array" ref="E227">_xlfn.IFS(D227 &lt; 26, "Gen Z", D227 &lt;= 41, "Millennials", D227 &lt;= 57, "Gen X", D227 &gt;= 58, "Boomers")</f>
        <v>Millennials</v>
      </c>
      <c r="F227" t="s">
        <v>33</v>
      </c>
      <c r="G227" t="s">
        <v>22</v>
      </c>
      <c r="H227">
        <v>41563</v>
      </c>
      <c r="I227" t="str" cm="1">
        <f t="array" ref="I227">_xlfn.IFS(H227 &lt; 30000, "Low", H227 &lt; 60000, "Medium", H227 &lt; 100000, "High", H227 &gt;= 100000, "Premium")</f>
        <v>Medium</v>
      </c>
      <c r="J227" t="s">
        <v>13</v>
      </c>
      <c r="K227" s="1">
        <v>45387</v>
      </c>
      <c r="L227">
        <f t="shared" ca="1" si="6"/>
        <v>2</v>
      </c>
      <c r="M227" t="str" cm="1">
        <f t="array" aca="1" ref="M227" ca="1">_xlfn.IFS( L227 &lt;=2, "New", L227&lt;=6, "Engaged", L227 &gt;6, "Loyal")</f>
        <v>New</v>
      </c>
      <c r="N227">
        <f t="shared" si="7"/>
        <v>2024</v>
      </c>
    </row>
    <row r="228" spans="1:14" x14ac:dyDescent="0.25">
      <c r="A228" t="s">
        <v>476</v>
      </c>
      <c r="B228" t="s">
        <v>477</v>
      </c>
      <c r="C228" t="s">
        <v>10</v>
      </c>
      <c r="D228">
        <v>46</v>
      </c>
      <c r="E228" t="str" cm="1">
        <f t="array" ref="E228">_xlfn.IFS(D228 &lt; 26, "Gen Z", D228 &lt;= 41, "Millennials", D228 &lt;= 57, "Gen X", D228 &gt;= 58, "Boomers")</f>
        <v>Gen X</v>
      </c>
      <c r="F228" t="s">
        <v>17</v>
      </c>
      <c r="G228" t="s">
        <v>30</v>
      </c>
      <c r="H228">
        <v>190413</v>
      </c>
      <c r="I228" t="str" cm="1">
        <f t="array" ref="I228">_xlfn.IFS(H228 &lt; 30000, "Low", H228 &lt; 60000, "Medium", H228 &lt; 100000, "High", H228 &gt;= 100000, "Premium")</f>
        <v>Premium</v>
      </c>
      <c r="J228" t="s">
        <v>23</v>
      </c>
      <c r="K228" s="1">
        <v>42873</v>
      </c>
      <c r="L228">
        <f t="shared" ca="1" si="6"/>
        <v>8</v>
      </c>
      <c r="M228" t="str" cm="1">
        <f t="array" aca="1" ref="M228" ca="1">_xlfn.IFS( L228 &lt;=2, "New", L228&lt;=6, "Engaged", L228 &gt;6, "Loyal")</f>
        <v>Loyal</v>
      </c>
      <c r="N228">
        <f t="shared" si="7"/>
        <v>2017</v>
      </c>
    </row>
    <row r="229" spans="1:14" x14ac:dyDescent="0.25">
      <c r="A229" t="s">
        <v>478</v>
      </c>
      <c r="B229" t="s">
        <v>479</v>
      </c>
      <c r="C229" t="s">
        <v>16</v>
      </c>
      <c r="D229">
        <v>73</v>
      </c>
      <c r="E229" t="str" cm="1">
        <f t="array" ref="E229">_xlfn.IFS(D229 &lt; 26, "Gen Z", D229 &lt;= 41, "Millennials", D229 &lt;= 57, "Gen X", D229 &gt;= 58, "Boomers")</f>
        <v>Boomers</v>
      </c>
      <c r="F229" t="s">
        <v>29</v>
      </c>
      <c r="G229" t="s">
        <v>18</v>
      </c>
      <c r="H229">
        <v>135672</v>
      </c>
      <c r="I229" t="str" cm="1">
        <f t="array" ref="I229">_xlfn.IFS(H229 &lt; 30000, "Low", H229 &lt; 60000, "Medium", H229 &lt; 100000, "High", H229 &gt;= 100000, "Premium")</f>
        <v>Premium</v>
      </c>
      <c r="J229" t="s">
        <v>19</v>
      </c>
      <c r="K229" s="1">
        <v>43479</v>
      </c>
      <c r="L229">
        <f t="shared" ca="1" si="6"/>
        <v>7</v>
      </c>
      <c r="M229" t="str" cm="1">
        <f t="array" aca="1" ref="M229" ca="1">_xlfn.IFS( L229 &lt;=2, "New", L229&lt;=6, "Engaged", L229 &gt;6, "Loyal")</f>
        <v>Loyal</v>
      </c>
      <c r="N229">
        <f t="shared" si="7"/>
        <v>2019</v>
      </c>
    </row>
    <row r="230" spans="1:14" x14ac:dyDescent="0.25">
      <c r="A230" t="s">
        <v>480</v>
      </c>
      <c r="B230" t="s">
        <v>481</v>
      </c>
      <c r="C230" t="s">
        <v>10</v>
      </c>
      <c r="D230">
        <v>53</v>
      </c>
      <c r="E230" t="str" cm="1">
        <f t="array" ref="E230">_xlfn.IFS(D230 &lt; 26, "Gen Z", D230 &lt;= 41, "Millennials", D230 &lt;= 57, "Gen X", D230 &gt;= 58, "Boomers")</f>
        <v>Gen X</v>
      </c>
      <c r="F230" t="s">
        <v>29</v>
      </c>
      <c r="G230" t="s">
        <v>36</v>
      </c>
      <c r="H230">
        <v>156848</v>
      </c>
      <c r="I230" t="str" cm="1">
        <f t="array" ref="I230">_xlfn.IFS(H230 &lt; 30000, "Low", H230 &lt; 60000, "Medium", H230 &lt; 100000, "High", H230 &gt;= 100000, "Premium")</f>
        <v>Premium</v>
      </c>
      <c r="J230" t="s">
        <v>13</v>
      </c>
      <c r="K230" s="1">
        <v>44786</v>
      </c>
      <c r="L230">
        <f t="shared" ca="1" si="6"/>
        <v>3</v>
      </c>
      <c r="M230" t="str" cm="1">
        <f t="array" aca="1" ref="M230" ca="1">_xlfn.IFS( L230 &lt;=2, "New", L230&lt;=6, "Engaged", L230 &gt;6, "Loyal")</f>
        <v>Engaged</v>
      </c>
      <c r="N230">
        <f t="shared" si="7"/>
        <v>2022</v>
      </c>
    </row>
    <row r="231" spans="1:14" x14ac:dyDescent="0.25">
      <c r="A231" t="s">
        <v>482</v>
      </c>
      <c r="B231" t="s">
        <v>483</v>
      </c>
      <c r="C231" t="s">
        <v>10</v>
      </c>
      <c r="D231">
        <v>42</v>
      </c>
      <c r="E231" t="str" cm="1">
        <f t="array" ref="E231">_xlfn.IFS(D231 &lt; 26, "Gen Z", D231 &lt;= 41, "Millennials", D231 &lt;= 57, "Gen X", D231 &gt;= 58, "Boomers")</f>
        <v>Gen X</v>
      </c>
      <c r="F231" t="s">
        <v>11</v>
      </c>
      <c r="G231" t="s">
        <v>22</v>
      </c>
      <c r="H231">
        <v>187516</v>
      </c>
      <c r="I231" t="str" cm="1">
        <f t="array" ref="I231">_xlfn.IFS(H231 &lt; 30000, "Low", H231 &lt; 60000, "Medium", H231 &lt; 100000, "High", H231 &gt;= 100000, "Premium")</f>
        <v>Premium</v>
      </c>
      <c r="J231" t="s">
        <v>23</v>
      </c>
      <c r="K231" s="1">
        <v>43184</v>
      </c>
      <c r="L231">
        <f t="shared" ca="1" si="6"/>
        <v>8</v>
      </c>
      <c r="M231" t="str" cm="1">
        <f t="array" aca="1" ref="M231" ca="1">_xlfn.IFS( L231 &lt;=2, "New", L231&lt;=6, "Engaged", L231 &gt;6, "Loyal")</f>
        <v>Loyal</v>
      </c>
      <c r="N231">
        <f t="shared" si="7"/>
        <v>2018</v>
      </c>
    </row>
    <row r="232" spans="1:14" x14ac:dyDescent="0.25">
      <c r="A232" t="s">
        <v>484</v>
      </c>
      <c r="B232" t="s">
        <v>485</v>
      </c>
      <c r="C232" t="s">
        <v>16</v>
      </c>
      <c r="D232">
        <v>38</v>
      </c>
      <c r="E232" t="str" cm="1">
        <f t="array" ref="E232">_xlfn.IFS(D232 &lt; 26, "Gen Z", D232 &lt;= 41, "Millennials", D232 &lt;= 57, "Gen X", D232 &gt;= 58, "Boomers")</f>
        <v>Millennials</v>
      </c>
      <c r="F232" t="s">
        <v>29</v>
      </c>
      <c r="G232" t="s">
        <v>30</v>
      </c>
      <c r="H232">
        <v>159783</v>
      </c>
      <c r="I232" t="str" cm="1">
        <f t="array" ref="I232">_xlfn.IFS(H232 &lt; 30000, "Low", H232 &lt; 60000, "Medium", H232 &lt; 100000, "High", H232 &gt;= 100000, "Premium")</f>
        <v>Premium</v>
      </c>
      <c r="J232" t="s">
        <v>13</v>
      </c>
      <c r="K232" s="1">
        <v>44937</v>
      </c>
      <c r="L232">
        <f t="shared" ca="1" si="6"/>
        <v>3</v>
      </c>
      <c r="M232" t="str" cm="1">
        <f t="array" aca="1" ref="M232" ca="1">_xlfn.IFS( L232 &lt;=2, "New", L232&lt;=6, "Engaged", L232 &gt;6, "Loyal")</f>
        <v>Engaged</v>
      </c>
      <c r="N232">
        <f t="shared" si="7"/>
        <v>2023</v>
      </c>
    </row>
    <row r="233" spans="1:14" x14ac:dyDescent="0.25">
      <c r="A233" t="s">
        <v>486</v>
      </c>
      <c r="B233" t="s">
        <v>487</v>
      </c>
      <c r="C233" t="s">
        <v>16</v>
      </c>
      <c r="D233">
        <v>74</v>
      </c>
      <c r="E233" t="str" cm="1">
        <f t="array" ref="E233">_xlfn.IFS(D233 &lt; 26, "Gen Z", D233 &lt;= 41, "Millennials", D233 &lt;= 57, "Gen X", D233 &gt;= 58, "Boomers")</f>
        <v>Boomers</v>
      </c>
      <c r="F233" t="s">
        <v>17</v>
      </c>
      <c r="G233" t="s">
        <v>12</v>
      </c>
      <c r="H233">
        <v>102970</v>
      </c>
      <c r="I233" t="str" cm="1">
        <f t="array" ref="I233">_xlfn.IFS(H233 &lt; 30000, "Low", H233 &lt; 60000, "Medium", H233 &lt; 100000, "High", H233 &gt;= 100000, "Premium")</f>
        <v>Premium</v>
      </c>
      <c r="J233" t="s">
        <v>19</v>
      </c>
      <c r="K233" s="1">
        <v>43335</v>
      </c>
      <c r="L233">
        <f t="shared" ca="1" si="6"/>
        <v>7</v>
      </c>
      <c r="M233" t="str" cm="1">
        <f t="array" aca="1" ref="M233" ca="1">_xlfn.IFS( L233 &lt;=2, "New", L233&lt;=6, "Engaged", L233 &gt;6, "Loyal")</f>
        <v>Loyal</v>
      </c>
      <c r="N233">
        <f t="shared" si="7"/>
        <v>2018</v>
      </c>
    </row>
    <row r="234" spans="1:14" x14ac:dyDescent="0.25">
      <c r="A234" t="s">
        <v>488</v>
      </c>
      <c r="B234" t="s">
        <v>489</v>
      </c>
      <c r="C234" t="s">
        <v>16</v>
      </c>
      <c r="D234">
        <v>53</v>
      </c>
      <c r="E234" t="str" cm="1">
        <f t="array" ref="E234">_xlfn.IFS(D234 &lt; 26, "Gen Z", D234 &lt;= 41, "Millennials", D234 &lt;= 57, "Gen X", D234 &gt;= 58, "Boomers")</f>
        <v>Gen X</v>
      </c>
      <c r="F234" t="s">
        <v>33</v>
      </c>
      <c r="G234" t="s">
        <v>30</v>
      </c>
      <c r="H234">
        <v>105553</v>
      </c>
      <c r="I234" t="str" cm="1">
        <f t="array" ref="I234">_xlfn.IFS(H234 &lt; 30000, "Low", H234 &lt; 60000, "Medium", H234 &lt; 100000, "High", H234 &gt;= 100000, "Premium")</f>
        <v>Premium</v>
      </c>
      <c r="J234" t="s">
        <v>13</v>
      </c>
      <c r="K234" s="1">
        <v>42932</v>
      </c>
      <c r="L234">
        <f t="shared" ca="1" si="6"/>
        <v>8</v>
      </c>
      <c r="M234" t="str" cm="1">
        <f t="array" aca="1" ref="M234" ca="1">_xlfn.IFS( L234 &lt;=2, "New", L234&lt;=6, "Engaged", L234 &gt;6, "Loyal")</f>
        <v>Loyal</v>
      </c>
      <c r="N234">
        <f t="shared" si="7"/>
        <v>2017</v>
      </c>
    </row>
    <row r="235" spans="1:14" x14ac:dyDescent="0.25">
      <c r="A235" t="s">
        <v>490</v>
      </c>
      <c r="B235" t="s">
        <v>491</v>
      </c>
      <c r="C235" t="s">
        <v>16</v>
      </c>
      <c r="D235">
        <v>27</v>
      </c>
      <c r="E235" t="str" cm="1">
        <f t="array" ref="E235">_xlfn.IFS(D235 &lt; 26, "Gen Z", D235 &lt;= 41, "Millennials", D235 &lt;= 57, "Gen X", D235 &gt;= 58, "Boomers")</f>
        <v>Millennials</v>
      </c>
      <c r="F235" t="s">
        <v>11</v>
      </c>
      <c r="G235" t="s">
        <v>41</v>
      </c>
      <c r="H235">
        <v>181779</v>
      </c>
      <c r="I235" t="str" cm="1">
        <f t="array" ref="I235">_xlfn.IFS(H235 &lt; 30000, "Low", H235 &lt; 60000, "Medium", H235 &lt; 100000, "High", H235 &gt;= 100000, "Premium")</f>
        <v>Premium</v>
      </c>
      <c r="J235" t="s">
        <v>19</v>
      </c>
      <c r="K235" s="1">
        <v>42976</v>
      </c>
      <c r="L235">
        <f t="shared" ca="1" si="6"/>
        <v>8</v>
      </c>
      <c r="M235" t="str" cm="1">
        <f t="array" aca="1" ref="M235" ca="1">_xlfn.IFS( L235 &lt;=2, "New", L235&lt;=6, "Engaged", L235 &gt;6, "Loyal")</f>
        <v>Loyal</v>
      </c>
      <c r="N235">
        <f t="shared" si="7"/>
        <v>2017</v>
      </c>
    </row>
    <row r="236" spans="1:14" x14ac:dyDescent="0.25">
      <c r="A236" t="s">
        <v>492</v>
      </c>
      <c r="B236" t="s">
        <v>493</v>
      </c>
      <c r="C236" t="s">
        <v>16</v>
      </c>
      <c r="D236">
        <v>54</v>
      </c>
      <c r="E236" t="str" cm="1">
        <f t="array" ref="E236">_xlfn.IFS(D236 &lt; 26, "Gen Z", D236 &lt;= 41, "Millennials", D236 &lt;= 57, "Gen X", D236 &gt;= 58, "Boomers")</f>
        <v>Gen X</v>
      </c>
      <c r="F236" t="s">
        <v>11</v>
      </c>
      <c r="G236" t="s">
        <v>36</v>
      </c>
      <c r="H236">
        <v>190182</v>
      </c>
      <c r="I236" t="str" cm="1">
        <f t="array" ref="I236">_xlfn.IFS(H236 &lt; 30000, "Low", H236 &lt; 60000, "Medium", H236 &lt; 100000, "High", H236 &gt;= 100000, "Premium")</f>
        <v>Premium</v>
      </c>
      <c r="J236" t="s">
        <v>19</v>
      </c>
      <c r="K236" s="1">
        <v>45033</v>
      </c>
      <c r="L236">
        <f t="shared" ca="1" si="6"/>
        <v>3</v>
      </c>
      <c r="M236" t="str" cm="1">
        <f t="array" aca="1" ref="M236" ca="1">_xlfn.IFS( L236 &lt;=2, "New", L236&lt;=6, "Engaged", L236 &gt;6, "Loyal")</f>
        <v>Engaged</v>
      </c>
      <c r="N236">
        <f t="shared" si="7"/>
        <v>2023</v>
      </c>
    </row>
    <row r="237" spans="1:14" x14ac:dyDescent="0.25">
      <c r="A237" t="s">
        <v>494</v>
      </c>
      <c r="B237" t="s">
        <v>495</v>
      </c>
      <c r="C237" t="s">
        <v>16</v>
      </c>
      <c r="D237">
        <v>26</v>
      </c>
      <c r="E237" t="str" cm="1">
        <f t="array" ref="E237">_xlfn.IFS(D237 &lt; 26, "Gen Z", D237 &lt;= 41, "Millennials", D237 &lt;= 57, "Gen X", D237 &gt;= 58, "Boomers")</f>
        <v>Millennials</v>
      </c>
      <c r="F237" t="s">
        <v>33</v>
      </c>
      <c r="G237" t="s">
        <v>22</v>
      </c>
      <c r="H237">
        <v>102879</v>
      </c>
      <c r="I237" t="str" cm="1">
        <f t="array" ref="I237">_xlfn.IFS(H237 &lt; 30000, "Low", H237 &lt; 60000, "Medium", H237 &lt; 100000, "High", H237 &gt;= 100000, "Premium")</f>
        <v>Premium</v>
      </c>
      <c r="J237" t="s">
        <v>19</v>
      </c>
      <c r="K237" s="1">
        <v>42866</v>
      </c>
      <c r="L237">
        <f t="shared" ca="1" si="6"/>
        <v>8</v>
      </c>
      <c r="M237" t="str" cm="1">
        <f t="array" aca="1" ref="M237" ca="1">_xlfn.IFS( L237 &lt;=2, "New", L237&lt;=6, "Engaged", L237 &gt;6, "Loyal")</f>
        <v>Loyal</v>
      </c>
      <c r="N237">
        <f t="shared" si="7"/>
        <v>2017</v>
      </c>
    </row>
    <row r="238" spans="1:14" x14ac:dyDescent="0.25">
      <c r="A238" t="s">
        <v>496</v>
      </c>
      <c r="B238" t="s">
        <v>497</v>
      </c>
      <c r="C238" t="s">
        <v>16</v>
      </c>
      <c r="D238">
        <v>41</v>
      </c>
      <c r="E238" t="str" cm="1">
        <f t="array" ref="E238">_xlfn.IFS(D238 &lt; 26, "Gen Z", D238 &lt;= 41, "Millennials", D238 &lt;= 57, "Gen X", D238 &gt;= 58, "Boomers")</f>
        <v>Millennials</v>
      </c>
      <c r="F238" t="s">
        <v>29</v>
      </c>
      <c r="G238" t="s">
        <v>12</v>
      </c>
      <c r="H238">
        <v>189899</v>
      </c>
      <c r="I238" t="str" cm="1">
        <f t="array" ref="I238">_xlfn.IFS(H238 &lt; 30000, "Low", H238 &lt; 60000, "Medium", H238 &lt; 100000, "High", H238 &gt;= 100000, "Premium")</f>
        <v>Premium</v>
      </c>
      <c r="J238" t="s">
        <v>19</v>
      </c>
      <c r="K238" s="1">
        <v>45579</v>
      </c>
      <c r="L238">
        <f t="shared" ca="1" si="6"/>
        <v>1</v>
      </c>
      <c r="M238" t="str" cm="1">
        <f t="array" aca="1" ref="M238" ca="1">_xlfn.IFS( L238 &lt;=2, "New", L238&lt;=6, "Engaged", L238 &gt;6, "Loyal")</f>
        <v>New</v>
      </c>
      <c r="N238">
        <f t="shared" si="7"/>
        <v>2024</v>
      </c>
    </row>
    <row r="239" spans="1:14" x14ac:dyDescent="0.25">
      <c r="A239" t="s">
        <v>498</v>
      </c>
      <c r="B239" t="s">
        <v>499</v>
      </c>
      <c r="C239" t="s">
        <v>16</v>
      </c>
      <c r="D239">
        <v>52</v>
      </c>
      <c r="E239" t="str" cm="1">
        <f t="array" ref="E239">_xlfn.IFS(D239 &lt; 26, "Gen Z", D239 &lt;= 41, "Millennials", D239 &lt;= 57, "Gen X", D239 &gt;= 58, "Boomers")</f>
        <v>Gen X</v>
      </c>
      <c r="F239" t="s">
        <v>33</v>
      </c>
      <c r="G239" t="s">
        <v>36</v>
      </c>
      <c r="H239">
        <v>156727</v>
      </c>
      <c r="I239" t="str" cm="1">
        <f t="array" ref="I239">_xlfn.IFS(H239 &lt; 30000, "Low", H239 &lt; 60000, "Medium", H239 &lt; 100000, "High", H239 &gt;= 100000, "Premium")</f>
        <v>Premium</v>
      </c>
      <c r="J239" t="s">
        <v>13</v>
      </c>
      <c r="K239" s="1">
        <v>44108</v>
      </c>
      <c r="L239">
        <f t="shared" ca="1" si="6"/>
        <v>5</v>
      </c>
      <c r="M239" t="str" cm="1">
        <f t="array" aca="1" ref="M239" ca="1">_xlfn.IFS( L239 &lt;=2, "New", L239&lt;=6, "Engaged", L239 &gt;6, "Loyal")</f>
        <v>Engaged</v>
      </c>
      <c r="N239">
        <f t="shared" si="7"/>
        <v>2020</v>
      </c>
    </row>
    <row r="240" spans="1:14" x14ac:dyDescent="0.25">
      <c r="A240" t="s">
        <v>500</v>
      </c>
      <c r="B240" t="s">
        <v>501</v>
      </c>
      <c r="C240" t="s">
        <v>10</v>
      </c>
      <c r="D240">
        <v>66</v>
      </c>
      <c r="E240" t="str" cm="1">
        <f t="array" ref="E240">_xlfn.IFS(D240 &lt; 26, "Gen Z", D240 &lt;= 41, "Millennials", D240 &lt;= 57, "Gen X", D240 &gt;= 58, "Boomers")</f>
        <v>Boomers</v>
      </c>
      <c r="F240" t="s">
        <v>29</v>
      </c>
      <c r="G240" t="s">
        <v>30</v>
      </c>
      <c r="H240">
        <v>64859</v>
      </c>
      <c r="I240" t="str" cm="1">
        <f t="array" ref="I240">_xlfn.IFS(H240 &lt; 30000, "Low", H240 &lt; 60000, "Medium", H240 &lt; 100000, "High", H240 &gt;= 100000, "Premium")</f>
        <v>High</v>
      </c>
      <c r="J240" t="s">
        <v>13</v>
      </c>
      <c r="K240" s="1">
        <v>45601</v>
      </c>
      <c r="L240">
        <f t="shared" ca="1" si="6"/>
        <v>1</v>
      </c>
      <c r="M240" t="str" cm="1">
        <f t="array" aca="1" ref="M240" ca="1">_xlfn.IFS( L240 &lt;=2, "New", L240&lt;=6, "Engaged", L240 &gt;6, "Loyal")</f>
        <v>New</v>
      </c>
      <c r="N240">
        <f t="shared" si="7"/>
        <v>2024</v>
      </c>
    </row>
    <row r="241" spans="1:14" x14ac:dyDescent="0.25">
      <c r="A241" t="s">
        <v>502</v>
      </c>
      <c r="B241" t="s">
        <v>503</v>
      </c>
      <c r="C241" t="s">
        <v>16</v>
      </c>
      <c r="D241">
        <v>52</v>
      </c>
      <c r="E241" t="str" cm="1">
        <f t="array" ref="E241">_xlfn.IFS(D241 &lt; 26, "Gen Z", D241 &lt;= 41, "Millennials", D241 &lt;= 57, "Gen X", D241 &gt;= 58, "Boomers")</f>
        <v>Gen X</v>
      </c>
      <c r="F241" t="s">
        <v>33</v>
      </c>
      <c r="G241" t="s">
        <v>36</v>
      </c>
      <c r="H241">
        <v>72098</v>
      </c>
      <c r="I241" t="str" cm="1">
        <f t="array" ref="I241">_xlfn.IFS(H241 &lt; 30000, "Low", H241 &lt; 60000, "Medium", H241 &lt; 100000, "High", H241 &gt;= 100000, "Premium")</f>
        <v>High</v>
      </c>
      <c r="J241" t="s">
        <v>13</v>
      </c>
      <c r="K241" s="1">
        <v>44544</v>
      </c>
      <c r="L241">
        <f t="shared" ca="1" si="6"/>
        <v>4</v>
      </c>
      <c r="M241" t="str" cm="1">
        <f t="array" aca="1" ref="M241" ca="1">_xlfn.IFS( L241 &lt;=2, "New", L241&lt;=6, "Engaged", L241 &gt;6, "Loyal")</f>
        <v>Engaged</v>
      </c>
      <c r="N241">
        <f t="shared" si="7"/>
        <v>2021</v>
      </c>
    </row>
    <row r="242" spans="1:14" x14ac:dyDescent="0.25">
      <c r="A242" t="s">
        <v>504</v>
      </c>
      <c r="B242" t="s">
        <v>505</v>
      </c>
      <c r="C242" t="s">
        <v>16</v>
      </c>
      <c r="D242">
        <v>65</v>
      </c>
      <c r="E242" t="str" cm="1">
        <f t="array" ref="E242">_xlfn.IFS(D242 &lt; 26, "Gen Z", D242 &lt;= 41, "Millennials", D242 &lt;= 57, "Gen X", D242 &gt;= 58, "Boomers")</f>
        <v>Boomers</v>
      </c>
      <c r="F242" t="s">
        <v>17</v>
      </c>
      <c r="G242" t="s">
        <v>22</v>
      </c>
      <c r="H242">
        <v>166323</v>
      </c>
      <c r="I242" t="str" cm="1">
        <f t="array" ref="I242">_xlfn.IFS(H242 &lt; 30000, "Low", H242 &lt; 60000, "Medium", H242 &lt; 100000, "High", H242 &gt;= 100000, "Premium")</f>
        <v>Premium</v>
      </c>
      <c r="J242" t="s">
        <v>13</v>
      </c>
      <c r="K242" s="1">
        <v>45420</v>
      </c>
      <c r="L242">
        <f t="shared" ca="1" si="6"/>
        <v>1</v>
      </c>
      <c r="M242" t="str" cm="1">
        <f t="array" aca="1" ref="M242" ca="1">_xlfn.IFS( L242 &lt;=2, "New", L242&lt;=6, "Engaged", L242 &gt;6, "Loyal")</f>
        <v>New</v>
      </c>
      <c r="N242">
        <f t="shared" si="7"/>
        <v>2024</v>
      </c>
    </row>
    <row r="243" spans="1:14" x14ac:dyDescent="0.25">
      <c r="A243" t="s">
        <v>506</v>
      </c>
      <c r="B243" t="s">
        <v>507</v>
      </c>
      <c r="C243" t="s">
        <v>10</v>
      </c>
      <c r="D243">
        <v>53</v>
      </c>
      <c r="E243" t="str" cm="1">
        <f t="array" ref="E243">_xlfn.IFS(D243 &lt; 26, "Gen Z", D243 &lt;= 41, "Millennials", D243 &lt;= 57, "Gen X", D243 &gt;= 58, "Boomers")</f>
        <v>Gen X</v>
      </c>
      <c r="F243" t="s">
        <v>29</v>
      </c>
      <c r="G243" t="s">
        <v>26</v>
      </c>
      <c r="H243">
        <v>142413</v>
      </c>
      <c r="I243" t="str" cm="1">
        <f t="array" ref="I243">_xlfn.IFS(H243 &lt; 30000, "Low", H243 &lt; 60000, "Medium", H243 &lt; 100000, "High", H243 &gt;= 100000, "Premium")</f>
        <v>Premium</v>
      </c>
      <c r="J243" t="s">
        <v>19</v>
      </c>
      <c r="K243" s="1">
        <v>44622</v>
      </c>
      <c r="L243">
        <f t="shared" ca="1" si="6"/>
        <v>4</v>
      </c>
      <c r="M243" t="str" cm="1">
        <f t="array" aca="1" ref="M243" ca="1">_xlfn.IFS( L243 &lt;=2, "New", L243&lt;=6, "Engaged", L243 &gt;6, "Loyal")</f>
        <v>Engaged</v>
      </c>
      <c r="N243">
        <f t="shared" si="7"/>
        <v>2022</v>
      </c>
    </row>
    <row r="244" spans="1:14" x14ac:dyDescent="0.25">
      <c r="A244" t="s">
        <v>508</v>
      </c>
      <c r="B244" t="s">
        <v>509</v>
      </c>
      <c r="C244" t="s">
        <v>16</v>
      </c>
      <c r="D244">
        <v>35</v>
      </c>
      <c r="E244" t="str" cm="1">
        <f t="array" ref="E244">_xlfn.IFS(D244 &lt; 26, "Gen Z", D244 &lt;= 41, "Millennials", D244 &lt;= 57, "Gen X", D244 &gt;= 58, "Boomers")</f>
        <v>Millennials</v>
      </c>
      <c r="F244" t="s">
        <v>17</v>
      </c>
      <c r="G244" t="s">
        <v>36</v>
      </c>
      <c r="H244">
        <v>20526</v>
      </c>
      <c r="I244" t="str" cm="1">
        <f t="array" ref="I244">_xlfn.IFS(H244 &lt; 30000, "Low", H244 &lt; 60000, "Medium", H244 &lt; 100000, "High", H244 &gt;= 100000, "Premium")</f>
        <v>Low</v>
      </c>
      <c r="J244" t="s">
        <v>13</v>
      </c>
      <c r="K244" s="1">
        <v>43688</v>
      </c>
      <c r="L244">
        <f t="shared" ca="1" si="6"/>
        <v>6</v>
      </c>
      <c r="M244" t="str" cm="1">
        <f t="array" aca="1" ref="M244" ca="1">_xlfn.IFS( L244 &lt;=2, "New", L244&lt;=6, "Engaged", L244 &gt;6, "Loyal")</f>
        <v>Engaged</v>
      </c>
      <c r="N244">
        <f t="shared" si="7"/>
        <v>2019</v>
      </c>
    </row>
    <row r="245" spans="1:14" x14ac:dyDescent="0.25">
      <c r="A245" t="s">
        <v>510</v>
      </c>
      <c r="B245" t="s">
        <v>511</v>
      </c>
      <c r="C245" t="s">
        <v>10</v>
      </c>
      <c r="D245">
        <v>66</v>
      </c>
      <c r="E245" t="str" cm="1">
        <f t="array" ref="E245">_xlfn.IFS(D245 &lt; 26, "Gen Z", D245 &lt;= 41, "Millennials", D245 &lt;= 57, "Gen X", D245 &gt;= 58, "Boomers")</f>
        <v>Boomers</v>
      </c>
      <c r="F245" t="s">
        <v>11</v>
      </c>
      <c r="G245" t="s">
        <v>41</v>
      </c>
      <c r="H245">
        <v>88760</v>
      </c>
      <c r="I245" t="str" cm="1">
        <f t="array" ref="I245">_xlfn.IFS(H245 &lt; 30000, "Low", H245 &lt; 60000, "Medium", H245 &lt; 100000, "High", H245 &gt;= 100000, "Premium")</f>
        <v>High</v>
      </c>
      <c r="J245" t="s">
        <v>23</v>
      </c>
      <c r="K245" s="1">
        <v>44922</v>
      </c>
      <c r="L245">
        <f t="shared" ca="1" si="6"/>
        <v>3</v>
      </c>
      <c r="M245" t="str" cm="1">
        <f t="array" aca="1" ref="M245" ca="1">_xlfn.IFS( L245 &lt;=2, "New", L245&lt;=6, "Engaged", L245 &gt;6, "Loyal")</f>
        <v>Engaged</v>
      </c>
      <c r="N245">
        <f t="shared" si="7"/>
        <v>2022</v>
      </c>
    </row>
    <row r="246" spans="1:14" x14ac:dyDescent="0.25">
      <c r="A246" t="s">
        <v>512</v>
      </c>
      <c r="B246" t="s">
        <v>513</v>
      </c>
      <c r="C246" t="s">
        <v>10</v>
      </c>
      <c r="D246">
        <v>56</v>
      </c>
      <c r="E246" t="str" cm="1">
        <f t="array" ref="E246">_xlfn.IFS(D246 &lt; 26, "Gen Z", D246 &lt;= 41, "Millennials", D246 &lt;= 57, "Gen X", D246 &gt;= 58, "Boomers")</f>
        <v>Gen X</v>
      </c>
      <c r="F246" t="s">
        <v>33</v>
      </c>
      <c r="G246" t="s">
        <v>36</v>
      </c>
      <c r="H246">
        <v>67837</v>
      </c>
      <c r="I246" t="str" cm="1">
        <f t="array" ref="I246">_xlfn.IFS(H246 &lt; 30000, "Low", H246 &lt; 60000, "Medium", H246 &lt; 100000, "High", H246 &gt;= 100000, "Premium")</f>
        <v>High</v>
      </c>
      <c r="J246" t="s">
        <v>19</v>
      </c>
      <c r="K246" s="1">
        <v>43395</v>
      </c>
      <c r="L246">
        <f t="shared" ca="1" si="6"/>
        <v>7</v>
      </c>
      <c r="M246" t="str" cm="1">
        <f t="array" aca="1" ref="M246" ca="1">_xlfn.IFS( L246 &lt;=2, "New", L246&lt;=6, "Engaged", L246 &gt;6, "Loyal")</f>
        <v>Loyal</v>
      </c>
      <c r="N246">
        <f t="shared" si="7"/>
        <v>2018</v>
      </c>
    </row>
    <row r="247" spans="1:14" x14ac:dyDescent="0.25">
      <c r="A247" t="s">
        <v>514</v>
      </c>
      <c r="B247" t="s">
        <v>515</v>
      </c>
      <c r="C247" t="s">
        <v>16</v>
      </c>
      <c r="D247">
        <v>49</v>
      </c>
      <c r="E247" t="str" cm="1">
        <f t="array" ref="E247">_xlfn.IFS(D247 &lt; 26, "Gen Z", D247 &lt;= 41, "Millennials", D247 &lt;= 57, "Gen X", D247 &gt;= 58, "Boomers")</f>
        <v>Gen X</v>
      </c>
      <c r="F247" t="s">
        <v>11</v>
      </c>
      <c r="G247" t="s">
        <v>30</v>
      </c>
      <c r="H247">
        <v>31536</v>
      </c>
      <c r="I247" t="str" cm="1">
        <f t="array" ref="I247">_xlfn.IFS(H247 &lt; 30000, "Low", H247 &lt; 60000, "Medium", H247 &lt; 100000, "High", H247 &gt;= 100000, "Premium")</f>
        <v>Medium</v>
      </c>
      <c r="J247" t="s">
        <v>19</v>
      </c>
      <c r="K247" s="1">
        <v>43113</v>
      </c>
      <c r="L247">
        <f t="shared" ca="1" si="6"/>
        <v>8</v>
      </c>
      <c r="M247" t="str" cm="1">
        <f t="array" aca="1" ref="M247" ca="1">_xlfn.IFS( L247 &lt;=2, "New", L247&lt;=6, "Engaged", L247 &gt;6, "Loyal")</f>
        <v>Loyal</v>
      </c>
      <c r="N247">
        <f t="shared" si="7"/>
        <v>2018</v>
      </c>
    </row>
    <row r="248" spans="1:14" x14ac:dyDescent="0.25">
      <c r="A248" t="s">
        <v>516</v>
      </c>
      <c r="B248" t="s">
        <v>517</v>
      </c>
      <c r="C248" t="s">
        <v>10</v>
      </c>
      <c r="D248">
        <v>41</v>
      </c>
      <c r="E248" t="str" cm="1">
        <f t="array" ref="E248">_xlfn.IFS(D248 &lt; 26, "Gen Z", D248 &lt;= 41, "Millennials", D248 &lt;= 57, "Gen X", D248 &gt;= 58, "Boomers")</f>
        <v>Millennials</v>
      </c>
      <c r="F248" t="s">
        <v>11</v>
      </c>
      <c r="G248" t="s">
        <v>30</v>
      </c>
      <c r="H248">
        <v>48541</v>
      </c>
      <c r="I248" t="str" cm="1">
        <f t="array" ref="I248">_xlfn.IFS(H248 &lt; 30000, "Low", H248 &lt; 60000, "Medium", H248 &lt; 100000, "High", H248 &gt;= 100000, "Premium")</f>
        <v>Medium</v>
      </c>
      <c r="J248" t="s">
        <v>13</v>
      </c>
      <c r="K248" s="1">
        <v>44257</v>
      </c>
      <c r="L248">
        <f t="shared" ca="1" si="6"/>
        <v>5</v>
      </c>
      <c r="M248" t="str" cm="1">
        <f t="array" aca="1" ref="M248" ca="1">_xlfn.IFS( L248 &lt;=2, "New", L248&lt;=6, "Engaged", L248 &gt;6, "Loyal")</f>
        <v>Engaged</v>
      </c>
      <c r="N248">
        <f t="shared" si="7"/>
        <v>2021</v>
      </c>
    </row>
    <row r="249" spans="1:14" x14ac:dyDescent="0.25">
      <c r="A249" t="s">
        <v>518</v>
      </c>
      <c r="B249" t="s">
        <v>519</v>
      </c>
      <c r="C249" t="s">
        <v>10</v>
      </c>
      <c r="D249">
        <v>40</v>
      </c>
      <c r="E249" t="str" cm="1">
        <f t="array" ref="E249">_xlfn.IFS(D249 &lt; 26, "Gen Z", D249 &lt;= 41, "Millennials", D249 &lt;= 57, "Gen X", D249 &gt;= 58, "Boomers")</f>
        <v>Millennials</v>
      </c>
      <c r="F249" t="s">
        <v>11</v>
      </c>
      <c r="G249" t="s">
        <v>12</v>
      </c>
      <c r="H249">
        <v>99083</v>
      </c>
      <c r="I249" t="str" cm="1">
        <f t="array" ref="I249">_xlfn.IFS(H249 &lt; 30000, "Low", H249 &lt; 60000, "Medium", H249 &lt; 100000, "High", H249 &gt;= 100000, "Premium")</f>
        <v>High</v>
      </c>
      <c r="J249" t="s">
        <v>19</v>
      </c>
      <c r="K249" s="1">
        <v>45179</v>
      </c>
      <c r="L249">
        <f t="shared" ca="1" si="6"/>
        <v>2</v>
      </c>
      <c r="M249" t="str" cm="1">
        <f t="array" aca="1" ref="M249" ca="1">_xlfn.IFS( L249 &lt;=2, "New", L249&lt;=6, "Engaged", L249 &gt;6, "Loyal")</f>
        <v>New</v>
      </c>
      <c r="N249">
        <f t="shared" si="7"/>
        <v>2023</v>
      </c>
    </row>
    <row r="250" spans="1:14" x14ac:dyDescent="0.25">
      <c r="A250" t="s">
        <v>520</v>
      </c>
      <c r="B250" t="s">
        <v>521</v>
      </c>
      <c r="C250" t="s">
        <v>10</v>
      </c>
      <c r="D250">
        <v>49</v>
      </c>
      <c r="E250" t="str" cm="1">
        <f t="array" ref="E250">_xlfn.IFS(D250 &lt; 26, "Gen Z", D250 &lt;= 41, "Millennials", D250 &lt;= 57, "Gen X", D250 &gt;= 58, "Boomers")</f>
        <v>Gen X</v>
      </c>
      <c r="F250" t="s">
        <v>11</v>
      </c>
      <c r="G250" t="s">
        <v>30</v>
      </c>
      <c r="H250">
        <v>54531</v>
      </c>
      <c r="I250" t="str" cm="1">
        <f t="array" ref="I250">_xlfn.IFS(H250 &lt; 30000, "Low", H250 &lt; 60000, "Medium", H250 &lt; 100000, "High", H250 &gt;= 100000, "Premium")</f>
        <v>Medium</v>
      </c>
      <c r="J250" t="s">
        <v>23</v>
      </c>
      <c r="K250" s="1">
        <v>44203</v>
      </c>
      <c r="L250">
        <f t="shared" ca="1" si="6"/>
        <v>5</v>
      </c>
      <c r="M250" t="str" cm="1">
        <f t="array" aca="1" ref="M250" ca="1">_xlfn.IFS( L250 &lt;=2, "New", L250&lt;=6, "Engaged", L250 &gt;6, "Loyal")</f>
        <v>Engaged</v>
      </c>
      <c r="N250">
        <f t="shared" si="7"/>
        <v>2021</v>
      </c>
    </row>
    <row r="251" spans="1:14" x14ac:dyDescent="0.25">
      <c r="A251" t="s">
        <v>522</v>
      </c>
      <c r="B251" t="s">
        <v>523</v>
      </c>
      <c r="C251" t="s">
        <v>10</v>
      </c>
      <c r="D251">
        <v>54</v>
      </c>
      <c r="E251" t="str" cm="1">
        <f t="array" ref="E251">_xlfn.IFS(D251 &lt; 26, "Gen Z", D251 &lt;= 41, "Millennials", D251 &lt;= 57, "Gen X", D251 &gt;= 58, "Boomers")</f>
        <v>Gen X</v>
      </c>
      <c r="F251" t="s">
        <v>33</v>
      </c>
      <c r="G251" t="s">
        <v>18</v>
      </c>
      <c r="H251">
        <v>28712</v>
      </c>
      <c r="I251" t="str" cm="1">
        <f t="array" ref="I251">_xlfn.IFS(H251 &lt; 30000, "Low", H251 &lt; 60000, "Medium", H251 &lt; 100000, "High", H251 &gt;= 100000, "Premium")</f>
        <v>Low</v>
      </c>
      <c r="J251" t="s">
        <v>13</v>
      </c>
      <c r="K251" s="1">
        <v>43294</v>
      </c>
      <c r="L251">
        <f t="shared" ca="1" si="6"/>
        <v>7</v>
      </c>
      <c r="M251" t="str" cm="1">
        <f t="array" aca="1" ref="M251" ca="1">_xlfn.IFS( L251 &lt;=2, "New", L251&lt;=6, "Engaged", L251 &gt;6, "Loyal")</f>
        <v>Loyal</v>
      </c>
      <c r="N251">
        <f t="shared" si="7"/>
        <v>2018</v>
      </c>
    </row>
    <row r="252" spans="1:14" x14ac:dyDescent="0.25">
      <c r="A252" t="s">
        <v>524</v>
      </c>
      <c r="B252" t="s">
        <v>525</v>
      </c>
      <c r="C252" t="s">
        <v>16</v>
      </c>
      <c r="D252">
        <v>29</v>
      </c>
      <c r="E252" t="str" cm="1">
        <f t="array" ref="E252">_xlfn.IFS(D252 &lt; 26, "Gen Z", D252 &lt;= 41, "Millennials", D252 &lt;= 57, "Gen X", D252 &gt;= 58, "Boomers")</f>
        <v>Millennials</v>
      </c>
      <c r="F252" t="s">
        <v>11</v>
      </c>
      <c r="G252" t="s">
        <v>22</v>
      </c>
      <c r="H252">
        <v>124101</v>
      </c>
      <c r="I252" t="str" cm="1">
        <f t="array" ref="I252">_xlfn.IFS(H252 &lt; 30000, "Low", H252 &lt; 60000, "Medium", H252 &lt; 100000, "High", H252 &gt;= 100000, "Premium")</f>
        <v>Premium</v>
      </c>
      <c r="J252" t="s">
        <v>19</v>
      </c>
      <c r="K252" s="1">
        <v>45422</v>
      </c>
      <c r="L252">
        <f t="shared" ca="1" si="6"/>
        <v>1</v>
      </c>
      <c r="M252" t="str" cm="1">
        <f t="array" aca="1" ref="M252" ca="1">_xlfn.IFS( L252 &lt;=2, "New", L252&lt;=6, "Engaged", L252 &gt;6, "Loyal")</f>
        <v>New</v>
      </c>
      <c r="N252">
        <f t="shared" si="7"/>
        <v>2024</v>
      </c>
    </row>
    <row r="253" spans="1:14" x14ac:dyDescent="0.25">
      <c r="A253" t="s">
        <v>526</v>
      </c>
      <c r="B253" t="s">
        <v>527</v>
      </c>
      <c r="C253" t="s">
        <v>10</v>
      </c>
      <c r="D253">
        <v>66</v>
      </c>
      <c r="E253" t="str" cm="1">
        <f t="array" ref="E253">_xlfn.IFS(D253 &lt; 26, "Gen Z", D253 &lt;= 41, "Millennials", D253 &lt;= 57, "Gen X", D253 &gt;= 58, "Boomers")</f>
        <v>Boomers</v>
      </c>
      <c r="F253" t="s">
        <v>33</v>
      </c>
      <c r="G253" t="s">
        <v>22</v>
      </c>
      <c r="H253">
        <v>85455</v>
      </c>
      <c r="I253" t="str" cm="1">
        <f t="array" ref="I253">_xlfn.IFS(H253 &lt; 30000, "Low", H253 &lt; 60000, "Medium", H253 &lt; 100000, "High", H253 &gt;= 100000, "Premium")</f>
        <v>High</v>
      </c>
      <c r="J253" t="s">
        <v>19</v>
      </c>
      <c r="K253" s="1">
        <v>45078</v>
      </c>
      <c r="L253">
        <f t="shared" ca="1" si="6"/>
        <v>2</v>
      </c>
      <c r="M253" t="str" cm="1">
        <f t="array" aca="1" ref="M253" ca="1">_xlfn.IFS( L253 &lt;=2, "New", L253&lt;=6, "Engaged", L253 &gt;6, "Loyal")</f>
        <v>New</v>
      </c>
      <c r="N253">
        <f t="shared" si="7"/>
        <v>2023</v>
      </c>
    </row>
    <row r="254" spans="1:14" x14ac:dyDescent="0.25">
      <c r="A254" t="s">
        <v>528</v>
      </c>
      <c r="B254" t="s">
        <v>529</v>
      </c>
      <c r="C254" t="s">
        <v>16</v>
      </c>
      <c r="D254">
        <v>72</v>
      </c>
      <c r="E254" t="str" cm="1">
        <f t="array" ref="E254">_xlfn.IFS(D254 &lt; 26, "Gen Z", D254 &lt;= 41, "Millennials", D254 &lt;= 57, "Gen X", D254 &gt;= 58, "Boomers")</f>
        <v>Boomers</v>
      </c>
      <c r="F254" t="s">
        <v>33</v>
      </c>
      <c r="G254" t="s">
        <v>26</v>
      </c>
      <c r="H254">
        <v>94744</v>
      </c>
      <c r="I254" t="str" cm="1">
        <f t="array" ref="I254">_xlfn.IFS(H254 &lt; 30000, "Low", H254 &lt; 60000, "Medium", H254 &lt; 100000, "High", H254 &gt;= 100000, "Premium")</f>
        <v>High</v>
      </c>
      <c r="J254" t="s">
        <v>13</v>
      </c>
      <c r="K254" s="1">
        <v>43323</v>
      </c>
      <c r="L254">
        <f t="shared" ca="1" si="6"/>
        <v>7</v>
      </c>
      <c r="M254" t="str" cm="1">
        <f t="array" aca="1" ref="M254" ca="1">_xlfn.IFS( L254 &lt;=2, "New", L254&lt;=6, "Engaged", L254 &gt;6, "Loyal")</f>
        <v>Loyal</v>
      </c>
      <c r="N254">
        <f t="shared" si="7"/>
        <v>2018</v>
      </c>
    </row>
    <row r="255" spans="1:14" x14ac:dyDescent="0.25">
      <c r="A255" t="s">
        <v>530</v>
      </c>
      <c r="B255" t="s">
        <v>531</v>
      </c>
      <c r="C255" t="s">
        <v>10</v>
      </c>
      <c r="D255">
        <v>30</v>
      </c>
      <c r="E255" t="str" cm="1">
        <f t="array" ref="E255">_xlfn.IFS(D255 &lt; 26, "Gen Z", D255 &lt;= 41, "Millennials", D255 &lt;= 57, "Gen X", D255 &gt;= 58, "Boomers")</f>
        <v>Millennials</v>
      </c>
      <c r="F255" t="s">
        <v>17</v>
      </c>
      <c r="G255" t="s">
        <v>26</v>
      </c>
      <c r="H255">
        <v>149749</v>
      </c>
      <c r="I255" t="str" cm="1">
        <f t="array" ref="I255">_xlfn.IFS(H255 &lt; 30000, "Low", H255 &lt; 60000, "Medium", H255 &lt; 100000, "High", H255 &gt;= 100000, "Premium")</f>
        <v>Premium</v>
      </c>
      <c r="J255" t="s">
        <v>13</v>
      </c>
      <c r="K255" s="1">
        <v>42930</v>
      </c>
      <c r="L255">
        <f t="shared" ca="1" si="6"/>
        <v>8</v>
      </c>
      <c r="M255" t="str" cm="1">
        <f t="array" aca="1" ref="M255" ca="1">_xlfn.IFS( L255 &lt;=2, "New", L255&lt;=6, "Engaged", L255 &gt;6, "Loyal")</f>
        <v>Loyal</v>
      </c>
      <c r="N255">
        <f t="shared" si="7"/>
        <v>2017</v>
      </c>
    </row>
    <row r="256" spans="1:14" x14ac:dyDescent="0.25">
      <c r="A256" t="s">
        <v>532</v>
      </c>
      <c r="B256" t="s">
        <v>533</v>
      </c>
      <c r="C256" t="s">
        <v>10</v>
      </c>
      <c r="D256">
        <v>40</v>
      </c>
      <c r="E256" t="str" cm="1">
        <f t="array" ref="E256">_xlfn.IFS(D256 &lt; 26, "Gen Z", D256 &lt;= 41, "Millennials", D256 &lt;= 57, "Gen X", D256 &gt;= 58, "Boomers")</f>
        <v>Millennials</v>
      </c>
      <c r="F256" t="s">
        <v>29</v>
      </c>
      <c r="G256" t="s">
        <v>22</v>
      </c>
      <c r="H256">
        <v>25109</v>
      </c>
      <c r="I256" t="str" cm="1">
        <f t="array" ref="I256">_xlfn.IFS(H256 &lt; 30000, "Low", H256 &lt; 60000, "Medium", H256 &lt; 100000, "High", H256 &gt;= 100000, "Premium")</f>
        <v>Low</v>
      </c>
      <c r="J256" t="s">
        <v>13</v>
      </c>
      <c r="K256" s="1">
        <v>42673</v>
      </c>
      <c r="L256">
        <f t="shared" ca="1" si="6"/>
        <v>9</v>
      </c>
      <c r="M256" t="str" cm="1">
        <f t="array" aca="1" ref="M256" ca="1">_xlfn.IFS( L256 &lt;=2, "New", L256&lt;=6, "Engaged", L256 &gt;6, "Loyal")</f>
        <v>Loyal</v>
      </c>
      <c r="N256">
        <f t="shared" si="7"/>
        <v>2016</v>
      </c>
    </row>
    <row r="257" spans="1:14" x14ac:dyDescent="0.25">
      <c r="A257" t="s">
        <v>534</v>
      </c>
      <c r="B257" t="s">
        <v>535</v>
      </c>
      <c r="C257" t="s">
        <v>10</v>
      </c>
      <c r="D257">
        <v>42</v>
      </c>
      <c r="E257" t="str" cm="1">
        <f t="array" ref="E257">_xlfn.IFS(D257 &lt; 26, "Gen Z", D257 &lt;= 41, "Millennials", D257 &lt;= 57, "Gen X", D257 &gt;= 58, "Boomers")</f>
        <v>Gen X</v>
      </c>
      <c r="F257" t="s">
        <v>29</v>
      </c>
      <c r="G257" t="s">
        <v>41</v>
      </c>
      <c r="H257">
        <v>69268</v>
      </c>
      <c r="I257" t="str" cm="1">
        <f t="array" ref="I257">_xlfn.IFS(H257 &lt; 30000, "Low", H257 &lt; 60000, "Medium", H257 &lt; 100000, "High", H257 &gt;= 100000, "Premium")</f>
        <v>High</v>
      </c>
      <c r="J257" t="s">
        <v>13</v>
      </c>
      <c r="K257" s="1">
        <v>44081</v>
      </c>
      <c r="L257">
        <f t="shared" ca="1" si="6"/>
        <v>5</v>
      </c>
      <c r="M257" t="str" cm="1">
        <f t="array" aca="1" ref="M257" ca="1">_xlfn.IFS( L257 &lt;=2, "New", L257&lt;=6, "Engaged", L257 &gt;6, "Loyal")</f>
        <v>Engaged</v>
      </c>
      <c r="N257">
        <f t="shared" si="7"/>
        <v>2020</v>
      </c>
    </row>
    <row r="258" spans="1:14" x14ac:dyDescent="0.25">
      <c r="A258" t="s">
        <v>536</v>
      </c>
      <c r="B258" t="s">
        <v>537</v>
      </c>
      <c r="C258" t="s">
        <v>10</v>
      </c>
      <c r="D258">
        <v>52</v>
      </c>
      <c r="E258" t="str" cm="1">
        <f t="array" ref="E258">_xlfn.IFS(D258 &lt; 26, "Gen Z", D258 &lt;= 41, "Millennials", D258 &lt;= 57, "Gen X", D258 &gt;= 58, "Boomers")</f>
        <v>Gen X</v>
      </c>
      <c r="F258" t="s">
        <v>33</v>
      </c>
      <c r="G258" t="s">
        <v>26</v>
      </c>
      <c r="H258">
        <v>74615</v>
      </c>
      <c r="I258" t="str" cm="1">
        <f t="array" ref="I258">_xlfn.IFS(H258 &lt; 30000, "Low", H258 &lt; 60000, "Medium", H258 &lt; 100000, "High", H258 &gt;= 100000, "Premium")</f>
        <v>High</v>
      </c>
      <c r="J258" t="s">
        <v>13</v>
      </c>
      <c r="K258" s="1">
        <v>42953</v>
      </c>
      <c r="L258">
        <f t="shared" ref="L258:L321" ca="1" si="8">DATEDIF(K258, TODAY(), "Y")</f>
        <v>8</v>
      </c>
      <c r="M258" t="str" cm="1">
        <f t="array" aca="1" ref="M258" ca="1">_xlfn.IFS( L258 &lt;=2, "New", L258&lt;=6, "Engaged", L258 &gt;6, "Loyal")</f>
        <v>Loyal</v>
      </c>
      <c r="N258">
        <f t="shared" ref="N258:N321" si="9">YEAR(K258)</f>
        <v>2017</v>
      </c>
    </row>
    <row r="259" spans="1:14" x14ac:dyDescent="0.25">
      <c r="A259" t="s">
        <v>538</v>
      </c>
      <c r="B259" t="s">
        <v>539</v>
      </c>
      <c r="C259" t="s">
        <v>16</v>
      </c>
      <c r="D259">
        <v>58</v>
      </c>
      <c r="E259" t="str" cm="1">
        <f t="array" ref="E259">_xlfn.IFS(D259 &lt; 26, "Gen Z", D259 &lt;= 41, "Millennials", D259 &lt;= 57, "Gen X", D259 &gt;= 58, "Boomers")</f>
        <v>Boomers</v>
      </c>
      <c r="F259" t="s">
        <v>17</v>
      </c>
      <c r="G259" t="s">
        <v>12</v>
      </c>
      <c r="H259">
        <v>102503</v>
      </c>
      <c r="I259" t="str" cm="1">
        <f t="array" ref="I259">_xlfn.IFS(H259 &lt; 30000, "Low", H259 &lt; 60000, "Medium", H259 &lt; 100000, "High", H259 &gt;= 100000, "Premium")</f>
        <v>Premium</v>
      </c>
      <c r="J259" t="s">
        <v>13</v>
      </c>
      <c r="K259" s="1">
        <v>45819</v>
      </c>
      <c r="L259">
        <f t="shared" ca="1" si="8"/>
        <v>0</v>
      </c>
      <c r="M259" t="str" cm="1">
        <f t="array" aca="1" ref="M259" ca="1">_xlfn.IFS( L259 &lt;=2, "New", L259&lt;=6, "Engaged", L259 &gt;6, "Loyal")</f>
        <v>New</v>
      </c>
      <c r="N259">
        <f t="shared" si="9"/>
        <v>2025</v>
      </c>
    </row>
    <row r="260" spans="1:14" x14ac:dyDescent="0.25">
      <c r="A260" t="s">
        <v>540</v>
      </c>
      <c r="B260" t="s">
        <v>541</v>
      </c>
      <c r="C260" t="s">
        <v>16</v>
      </c>
      <c r="D260">
        <v>47</v>
      </c>
      <c r="E260" t="str" cm="1">
        <f t="array" ref="E260">_xlfn.IFS(D260 &lt; 26, "Gen Z", D260 &lt;= 41, "Millennials", D260 &lt;= 57, "Gen X", D260 &gt;= 58, "Boomers")</f>
        <v>Gen X</v>
      </c>
      <c r="F260" t="s">
        <v>33</v>
      </c>
      <c r="G260" t="s">
        <v>30</v>
      </c>
      <c r="H260">
        <v>180831</v>
      </c>
      <c r="I260" t="str" cm="1">
        <f t="array" ref="I260">_xlfn.IFS(H260 &lt; 30000, "Low", H260 &lt; 60000, "Medium", H260 &lt; 100000, "High", H260 &gt;= 100000, "Premium")</f>
        <v>Premium</v>
      </c>
      <c r="J260" t="s">
        <v>13</v>
      </c>
      <c r="K260" s="1">
        <v>44115</v>
      </c>
      <c r="L260">
        <f t="shared" ca="1" si="8"/>
        <v>5</v>
      </c>
      <c r="M260" t="str" cm="1">
        <f t="array" aca="1" ref="M260" ca="1">_xlfn.IFS( L260 &lt;=2, "New", L260&lt;=6, "Engaged", L260 &gt;6, "Loyal")</f>
        <v>Engaged</v>
      </c>
      <c r="N260">
        <f t="shared" si="9"/>
        <v>2020</v>
      </c>
    </row>
    <row r="261" spans="1:14" x14ac:dyDescent="0.25">
      <c r="A261" t="s">
        <v>542</v>
      </c>
      <c r="B261" t="s">
        <v>543</v>
      </c>
      <c r="C261" t="s">
        <v>10</v>
      </c>
      <c r="D261">
        <v>34</v>
      </c>
      <c r="E261" t="str" cm="1">
        <f t="array" ref="E261">_xlfn.IFS(D261 &lt; 26, "Gen Z", D261 &lt;= 41, "Millennials", D261 &lt;= 57, "Gen X", D261 &gt;= 58, "Boomers")</f>
        <v>Millennials</v>
      </c>
      <c r="F261" t="s">
        <v>33</v>
      </c>
      <c r="G261" t="s">
        <v>22</v>
      </c>
      <c r="H261">
        <v>105708</v>
      </c>
      <c r="I261" t="str" cm="1">
        <f t="array" ref="I261">_xlfn.IFS(H261 &lt; 30000, "Low", H261 &lt; 60000, "Medium", H261 &lt; 100000, "High", H261 &gt;= 100000, "Premium")</f>
        <v>Premium</v>
      </c>
      <c r="J261" t="s">
        <v>13</v>
      </c>
      <c r="K261" s="1">
        <v>44588</v>
      </c>
      <c r="L261">
        <f t="shared" ca="1" si="8"/>
        <v>4</v>
      </c>
      <c r="M261" t="str" cm="1">
        <f t="array" aca="1" ref="M261" ca="1">_xlfn.IFS( L261 &lt;=2, "New", L261&lt;=6, "Engaged", L261 &gt;6, "Loyal")</f>
        <v>Engaged</v>
      </c>
      <c r="N261">
        <f t="shared" si="9"/>
        <v>2022</v>
      </c>
    </row>
    <row r="262" spans="1:14" x14ac:dyDescent="0.25">
      <c r="A262" t="s">
        <v>544</v>
      </c>
      <c r="B262" t="s">
        <v>545</v>
      </c>
      <c r="C262" t="s">
        <v>10</v>
      </c>
      <c r="D262">
        <v>66</v>
      </c>
      <c r="E262" t="str" cm="1">
        <f t="array" ref="E262">_xlfn.IFS(D262 &lt; 26, "Gen Z", D262 &lt;= 41, "Millennials", D262 &lt;= 57, "Gen X", D262 &gt;= 58, "Boomers")</f>
        <v>Boomers</v>
      </c>
      <c r="F262" t="s">
        <v>33</v>
      </c>
      <c r="G262" t="s">
        <v>26</v>
      </c>
      <c r="H262">
        <v>122471</v>
      </c>
      <c r="I262" t="str" cm="1">
        <f t="array" ref="I262">_xlfn.IFS(H262 &lt; 30000, "Low", H262 &lt; 60000, "Medium", H262 &lt; 100000, "High", H262 &gt;= 100000, "Premium")</f>
        <v>Premium</v>
      </c>
      <c r="J262" t="s">
        <v>23</v>
      </c>
      <c r="K262" s="1">
        <v>43744</v>
      </c>
      <c r="L262">
        <f t="shared" ca="1" si="8"/>
        <v>6</v>
      </c>
      <c r="M262" t="str" cm="1">
        <f t="array" aca="1" ref="M262" ca="1">_xlfn.IFS( L262 &lt;=2, "New", L262&lt;=6, "Engaged", L262 &gt;6, "Loyal")</f>
        <v>Engaged</v>
      </c>
      <c r="N262">
        <f t="shared" si="9"/>
        <v>2019</v>
      </c>
    </row>
    <row r="263" spans="1:14" x14ac:dyDescent="0.25">
      <c r="A263" t="s">
        <v>546</v>
      </c>
      <c r="B263" t="s">
        <v>547</v>
      </c>
      <c r="C263" t="s">
        <v>16</v>
      </c>
      <c r="D263">
        <v>37</v>
      </c>
      <c r="E263" t="str" cm="1">
        <f t="array" ref="E263">_xlfn.IFS(D263 &lt; 26, "Gen Z", D263 &lt;= 41, "Millennials", D263 &lt;= 57, "Gen X", D263 &gt;= 58, "Boomers")</f>
        <v>Millennials</v>
      </c>
      <c r="F263" t="s">
        <v>17</v>
      </c>
      <c r="G263" t="s">
        <v>22</v>
      </c>
      <c r="H263">
        <v>177661</v>
      </c>
      <c r="I263" t="str" cm="1">
        <f t="array" ref="I263">_xlfn.IFS(H263 &lt; 30000, "Low", H263 &lt; 60000, "Medium", H263 &lt; 100000, "High", H263 &gt;= 100000, "Premium")</f>
        <v>Premium</v>
      </c>
      <c r="J263" t="s">
        <v>13</v>
      </c>
      <c r="K263" s="1">
        <v>45516</v>
      </c>
      <c r="L263">
        <f t="shared" ca="1" si="8"/>
        <v>1</v>
      </c>
      <c r="M263" t="str" cm="1">
        <f t="array" aca="1" ref="M263" ca="1">_xlfn.IFS( L263 &lt;=2, "New", L263&lt;=6, "Engaged", L263 &gt;6, "Loyal")</f>
        <v>New</v>
      </c>
      <c r="N263">
        <f t="shared" si="9"/>
        <v>2024</v>
      </c>
    </row>
    <row r="264" spans="1:14" x14ac:dyDescent="0.25">
      <c r="A264" t="s">
        <v>548</v>
      </c>
      <c r="B264" t="s">
        <v>549</v>
      </c>
      <c r="C264" t="s">
        <v>10</v>
      </c>
      <c r="D264">
        <v>65</v>
      </c>
      <c r="E264" t="str" cm="1">
        <f t="array" ref="E264">_xlfn.IFS(D264 &lt; 26, "Gen Z", D264 &lt;= 41, "Millennials", D264 &lt;= 57, "Gen X", D264 &gt;= 58, "Boomers")</f>
        <v>Boomers</v>
      </c>
      <c r="F264" t="s">
        <v>29</v>
      </c>
      <c r="G264" t="s">
        <v>18</v>
      </c>
      <c r="H264">
        <v>181087</v>
      </c>
      <c r="I264" t="str" cm="1">
        <f t="array" ref="I264">_xlfn.IFS(H264 &lt; 30000, "Low", H264 &lt; 60000, "Medium", H264 &lt; 100000, "High", H264 &gt;= 100000, "Premium")</f>
        <v>Premium</v>
      </c>
      <c r="J264" t="s">
        <v>23</v>
      </c>
      <c r="K264" s="1">
        <v>43829</v>
      </c>
      <c r="L264">
        <f t="shared" ca="1" si="8"/>
        <v>6</v>
      </c>
      <c r="M264" t="str" cm="1">
        <f t="array" aca="1" ref="M264" ca="1">_xlfn.IFS( L264 &lt;=2, "New", L264&lt;=6, "Engaged", L264 &gt;6, "Loyal")</f>
        <v>Engaged</v>
      </c>
      <c r="N264">
        <f t="shared" si="9"/>
        <v>2019</v>
      </c>
    </row>
    <row r="265" spans="1:14" x14ac:dyDescent="0.25">
      <c r="A265" t="s">
        <v>550</v>
      </c>
      <c r="B265" t="s">
        <v>551</v>
      </c>
      <c r="C265" t="s">
        <v>10</v>
      </c>
      <c r="D265">
        <v>42</v>
      </c>
      <c r="E265" t="str" cm="1">
        <f t="array" ref="E265">_xlfn.IFS(D265 &lt; 26, "Gen Z", D265 &lt;= 41, "Millennials", D265 &lt;= 57, "Gen X", D265 &gt;= 58, "Boomers")</f>
        <v>Gen X</v>
      </c>
      <c r="F265" t="s">
        <v>17</v>
      </c>
      <c r="G265" t="s">
        <v>36</v>
      </c>
      <c r="H265">
        <v>180081</v>
      </c>
      <c r="I265" t="str" cm="1">
        <f t="array" ref="I265">_xlfn.IFS(H265 &lt; 30000, "Low", H265 &lt; 60000, "Medium", H265 &lt; 100000, "High", H265 &gt;= 100000, "Premium")</f>
        <v>Premium</v>
      </c>
      <c r="J265" t="s">
        <v>13</v>
      </c>
      <c r="K265" s="1">
        <v>42297</v>
      </c>
      <c r="L265">
        <f t="shared" ca="1" si="8"/>
        <v>10</v>
      </c>
      <c r="M265" t="str" cm="1">
        <f t="array" aca="1" ref="M265" ca="1">_xlfn.IFS( L265 &lt;=2, "New", L265&lt;=6, "Engaged", L265 &gt;6, "Loyal")</f>
        <v>Loyal</v>
      </c>
      <c r="N265">
        <f t="shared" si="9"/>
        <v>2015</v>
      </c>
    </row>
    <row r="266" spans="1:14" x14ac:dyDescent="0.25">
      <c r="A266" t="s">
        <v>552</v>
      </c>
      <c r="B266" t="s">
        <v>553</v>
      </c>
      <c r="C266" t="s">
        <v>10</v>
      </c>
      <c r="D266">
        <v>39</v>
      </c>
      <c r="E266" t="str" cm="1">
        <f t="array" ref="E266">_xlfn.IFS(D266 &lt; 26, "Gen Z", D266 &lt;= 41, "Millennials", D266 &lt;= 57, "Gen X", D266 &gt;= 58, "Boomers")</f>
        <v>Millennials</v>
      </c>
      <c r="F266" t="s">
        <v>11</v>
      </c>
      <c r="G266" t="s">
        <v>30</v>
      </c>
      <c r="H266">
        <v>103309</v>
      </c>
      <c r="I266" t="str" cm="1">
        <f t="array" ref="I266">_xlfn.IFS(H266 &lt; 30000, "Low", H266 &lt; 60000, "Medium", H266 &lt; 100000, "High", H266 &gt;= 100000, "Premium")</f>
        <v>Premium</v>
      </c>
      <c r="J266" t="s">
        <v>13</v>
      </c>
      <c r="K266" s="1">
        <v>44102</v>
      </c>
      <c r="L266">
        <f t="shared" ca="1" si="8"/>
        <v>5</v>
      </c>
      <c r="M266" t="str" cm="1">
        <f t="array" aca="1" ref="M266" ca="1">_xlfn.IFS( L266 &lt;=2, "New", L266&lt;=6, "Engaged", L266 &gt;6, "Loyal")</f>
        <v>Engaged</v>
      </c>
      <c r="N266">
        <f t="shared" si="9"/>
        <v>2020</v>
      </c>
    </row>
    <row r="267" spans="1:14" x14ac:dyDescent="0.25">
      <c r="A267" t="s">
        <v>554</v>
      </c>
      <c r="B267" t="s">
        <v>555</v>
      </c>
      <c r="C267" t="s">
        <v>16</v>
      </c>
      <c r="D267">
        <v>30</v>
      </c>
      <c r="E267" t="str" cm="1">
        <f t="array" ref="E267">_xlfn.IFS(D267 &lt; 26, "Gen Z", D267 &lt;= 41, "Millennials", D267 &lt;= 57, "Gen X", D267 &gt;= 58, "Boomers")</f>
        <v>Millennials</v>
      </c>
      <c r="F267" t="s">
        <v>17</v>
      </c>
      <c r="G267" t="s">
        <v>22</v>
      </c>
      <c r="H267">
        <v>146446</v>
      </c>
      <c r="I267" t="str" cm="1">
        <f t="array" ref="I267">_xlfn.IFS(H267 &lt; 30000, "Low", H267 &lt; 60000, "Medium", H267 &lt; 100000, "High", H267 &gt;= 100000, "Premium")</f>
        <v>Premium</v>
      </c>
      <c r="J267" t="s">
        <v>13</v>
      </c>
      <c r="K267" s="1">
        <v>42770</v>
      </c>
      <c r="L267">
        <f t="shared" ca="1" si="8"/>
        <v>9</v>
      </c>
      <c r="M267" t="str" cm="1">
        <f t="array" aca="1" ref="M267" ca="1">_xlfn.IFS( L267 &lt;=2, "New", L267&lt;=6, "Engaged", L267 &gt;6, "Loyal")</f>
        <v>Loyal</v>
      </c>
      <c r="N267">
        <f t="shared" si="9"/>
        <v>2017</v>
      </c>
    </row>
    <row r="268" spans="1:14" x14ac:dyDescent="0.25">
      <c r="A268" t="s">
        <v>556</v>
      </c>
      <c r="B268" t="s">
        <v>557</v>
      </c>
      <c r="C268" t="s">
        <v>16</v>
      </c>
      <c r="D268">
        <v>36</v>
      </c>
      <c r="E268" t="str" cm="1">
        <f t="array" ref="E268">_xlfn.IFS(D268 &lt; 26, "Gen Z", D268 &lt;= 41, "Millennials", D268 &lt;= 57, "Gen X", D268 &gt;= 58, "Boomers")</f>
        <v>Millennials</v>
      </c>
      <c r="F268" t="s">
        <v>17</v>
      </c>
      <c r="G268" t="s">
        <v>36</v>
      </c>
      <c r="H268">
        <v>126661</v>
      </c>
      <c r="I268" t="str" cm="1">
        <f t="array" ref="I268">_xlfn.IFS(H268 &lt; 30000, "Low", H268 &lt; 60000, "Medium", H268 &lt; 100000, "High", H268 &gt;= 100000, "Premium")</f>
        <v>Premium</v>
      </c>
      <c r="J268" t="s">
        <v>13</v>
      </c>
      <c r="K268" s="1">
        <v>44437</v>
      </c>
      <c r="L268">
        <f t="shared" ca="1" si="8"/>
        <v>4</v>
      </c>
      <c r="M268" t="str" cm="1">
        <f t="array" aca="1" ref="M268" ca="1">_xlfn.IFS( L268 &lt;=2, "New", L268&lt;=6, "Engaged", L268 &gt;6, "Loyal")</f>
        <v>Engaged</v>
      </c>
      <c r="N268">
        <f t="shared" si="9"/>
        <v>2021</v>
      </c>
    </row>
    <row r="269" spans="1:14" x14ac:dyDescent="0.25">
      <c r="A269" t="s">
        <v>558</v>
      </c>
      <c r="B269" t="s">
        <v>559</v>
      </c>
      <c r="C269" t="s">
        <v>16</v>
      </c>
      <c r="D269">
        <v>66</v>
      </c>
      <c r="E269" t="str" cm="1">
        <f t="array" ref="E269">_xlfn.IFS(D269 &lt; 26, "Gen Z", D269 &lt;= 41, "Millennials", D269 &lt;= 57, "Gen X", D269 &gt;= 58, "Boomers")</f>
        <v>Boomers</v>
      </c>
      <c r="F269" t="s">
        <v>17</v>
      </c>
      <c r="G269" t="s">
        <v>26</v>
      </c>
      <c r="H269">
        <v>177215</v>
      </c>
      <c r="I269" t="str" cm="1">
        <f t="array" ref="I269">_xlfn.IFS(H269 &lt; 30000, "Low", H269 &lt; 60000, "Medium", H269 &lt; 100000, "High", H269 &gt;= 100000, "Premium")</f>
        <v>Premium</v>
      </c>
      <c r="J269" t="s">
        <v>13</v>
      </c>
      <c r="K269" s="1">
        <v>43819</v>
      </c>
      <c r="L269">
        <f t="shared" ca="1" si="8"/>
        <v>6</v>
      </c>
      <c r="M269" t="str" cm="1">
        <f t="array" aca="1" ref="M269" ca="1">_xlfn.IFS( L269 &lt;=2, "New", L269&lt;=6, "Engaged", L269 &gt;6, "Loyal")</f>
        <v>Engaged</v>
      </c>
      <c r="N269">
        <f t="shared" si="9"/>
        <v>2019</v>
      </c>
    </row>
    <row r="270" spans="1:14" x14ac:dyDescent="0.25">
      <c r="A270" t="s">
        <v>560</v>
      </c>
      <c r="B270" t="s">
        <v>561</v>
      </c>
      <c r="C270" t="s">
        <v>10</v>
      </c>
      <c r="D270">
        <v>53</v>
      </c>
      <c r="E270" t="str" cm="1">
        <f t="array" ref="E270">_xlfn.IFS(D270 &lt; 26, "Gen Z", D270 &lt;= 41, "Millennials", D270 &lt;= 57, "Gen X", D270 &gt;= 58, "Boomers")</f>
        <v>Gen X</v>
      </c>
      <c r="F270" t="s">
        <v>17</v>
      </c>
      <c r="G270" t="s">
        <v>36</v>
      </c>
      <c r="H270">
        <v>26154</v>
      </c>
      <c r="I270" t="str" cm="1">
        <f t="array" ref="I270">_xlfn.IFS(H270 &lt; 30000, "Low", H270 &lt; 60000, "Medium", H270 &lt; 100000, "High", H270 &gt;= 100000, "Premium")</f>
        <v>Low</v>
      </c>
      <c r="J270" t="s">
        <v>19</v>
      </c>
      <c r="K270" s="1">
        <v>43150</v>
      </c>
      <c r="L270">
        <f t="shared" ca="1" si="8"/>
        <v>8</v>
      </c>
      <c r="M270" t="str" cm="1">
        <f t="array" aca="1" ref="M270" ca="1">_xlfn.IFS( L270 &lt;=2, "New", L270&lt;=6, "Engaged", L270 &gt;6, "Loyal")</f>
        <v>Loyal</v>
      </c>
      <c r="N270">
        <f t="shared" si="9"/>
        <v>2018</v>
      </c>
    </row>
    <row r="271" spans="1:14" x14ac:dyDescent="0.25">
      <c r="A271" t="s">
        <v>562</v>
      </c>
      <c r="B271" t="s">
        <v>563</v>
      </c>
      <c r="C271" t="s">
        <v>10</v>
      </c>
      <c r="D271">
        <v>29</v>
      </c>
      <c r="E271" t="str" cm="1">
        <f t="array" ref="E271">_xlfn.IFS(D271 &lt; 26, "Gen Z", D271 &lt;= 41, "Millennials", D271 &lt;= 57, "Gen X", D271 &gt;= 58, "Boomers")</f>
        <v>Millennials</v>
      </c>
      <c r="F271" t="s">
        <v>29</v>
      </c>
      <c r="G271" t="s">
        <v>30</v>
      </c>
      <c r="H271">
        <v>172876</v>
      </c>
      <c r="I271" t="str" cm="1">
        <f t="array" ref="I271">_xlfn.IFS(H271 &lt; 30000, "Low", H271 &lt; 60000, "Medium", H271 &lt; 100000, "High", H271 &gt;= 100000, "Premium")</f>
        <v>Premium</v>
      </c>
      <c r="J271" t="s">
        <v>13</v>
      </c>
      <c r="K271" s="1">
        <v>42737</v>
      </c>
      <c r="L271">
        <f t="shared" ca="1" si="8"/>
        <v>9</v>
      </c>
      <c r="M271" t="str" cm="1">
        <f t="array" aca="1" ref="M271" ca="1">_xlfn.IFS( L271 &lt;=2, "New", L271&lt;=6, "Engaged", L271 &gt;6, "Loyal")</f>
        <v>Loyal</v>
      </c>
      <c r="N271">
        <f t="shared" si="9"/>
        <v>2017</v>
      </c>
    </row>
    <row r="272" spans="1:14" x14ac:dyDescent="0.25">
      <c r="A272" t="s">
        <v>564</v>
      </c>
      <c r="B272" t="s">
        <v>565</v>
      </c>
      <c r="C272" t="s">
        <v>16</v>
      </c>
      <c r="D272">
        <v>58</v>
      </c>
      <c r="E272" t="str" cm="1">
        <f t="array" ref="E272">_xlfn.IFS(D272 &lt; 26, "Gen Z", D272 &lt;= 41, "Millennials", D272 &lt;= 57, "Gen X", D272 &gt;= 58, "Boomers")</f>
        <v>Boomers</v>
      </c>
      <c r="F272" t="s">
        <v>11</v>
      </c>
      <c r="G272" t="s">
        <v>22</v>
      </c>
      <c r="H272">
        <v>192760</v>
      </c>
      <c r="I272" t="str" cm="1">
        <f t="array" ref="I272">_xlfn.IFS(H272 &lt; 30000, "Low", H272 &lt; 60000, "Medium", H272 &lt; 100000, "High", H272 &gt;= 100000, "Premium")</f>
        <v>Premium</v>
      </c>
      <c r="J272" t="s">
        <v>19</v>
      </c>
      <c r="K272" s="1">
        <v>45051</v>
      </c>
      <c r="L272">
        <f t="shared" ca="1" si="8"/>
        <v>2</v>
      </c>
      <c r="M272" t="str" cm="1">
        <f t="array" aca="1" ref="M272" ca="1">_xlfn.IFS( L272 &lt;=2, "New", L272&lt;=6, "Engaged", L272 &gt;6, "Loyal")</f>
        <v>New</v>
      </c>
      <c r="N272">
        <f t="shared" si="9"/>
        <v>2023</v>
      </c>
    </row>
    <row r="273" spans="1:14" x14ac:dyDescent="0.25">
      <c r="A273" t="s">
        <v>566</v>
      </c>
      <c r="B273" t="s">
        <v>567</v>
      </c>
      <c r="C273" t="s">
        <v>16</v>
      </c>
      <c r="D273">
        <v>36</v>
      </c>
      <c r="E273" t="str" cm="1">
        <f t="array" ref="E273">_xlfn.IFS(D273 &lt; 26, "Gen Z", D273 &lt;= 41, "Millennials", D273 &lt;= 57, "Gen X", D273 &gt;= 58, "Boomers")</f>
        <v>Millennials</v>
      </c>
      <c r="F273" t="s">
        <v>29</v>
      </c>
      <c r="G273" t="s">
        <v>18</v>
      </c>
      <c r="H273">
        <v>84288</v>
      </c>
      <c r="I273" t="str" cm="1">
        <f t="array" ref="I273">_xlfn.IFS(H273 &lt; 30000, "Low", H273 &lt; 60000, "Medium", H273 &lt; 100000, "High", H273 &gt;= 100000, "Premium")</f>
        <v>High</v>
      </c>
      <c r="J273" t="s">
        <v>19</v>
      </c>
      <c r="K273" s="1">
        <v>43890</v>
      </c>
      <c r="L273">
        <f t="shared" ca="1" si="8"/>
        <v>6</v>
      </c>
      <c r="M273" t="str" cm="1">
        <f t="array" aca="1" ref="M273" ca="1">_xlfn.IFS( L273 &lt;=2, "New", L273&lt;=6, "Engaged", L273 &gt;6, "Loyal")</f>
        <v>Engaged</v>
      </c>
      <c r="N273">
        <f t="shared" si="9"/>
        <v>2020</v>
      </c>
    </row>
    <row r="274" spans="1:14" x14ac:dyDescent="0.25">
      <c r="A274" t="s">
        <v>568</v>
      </c>
      <c r="B274" t="s">
        <v>569</v>
      </c>
      <c r="C274" t="s">
        <v>16</v>
      </c>
      <c r="D274">
        <v>29</v>
      </c>
      <c r="E274" t="str" cm="1">
        <f t="array" ref="E274">_xlfn.IFS(D274 &lt; 26, "Gen Z", D274 &lt;= 41, "Millennials", D274 &lt;= 57, "Gen X", D274 &gt;= 58, "Boomers")</f>
        <v>Millennials</v>
      </c>
      <c r="F274" t="s">
        <v>29</v>
      </c>
      <c r="G274" t="s">
        <v>41</v>
      </c>
      <c r="H274">
        <v>71195</v>
      </c>
      <c r="I274" t="str" cm="1">
        <f t="array" ref="I274">_xlfn.IFS(H274 &lt; 30000, "Low", H274 &lt; 60000, "Medium", H274 &lt; 100000, "High", H274 &gt;= 100000, "Premium")</f>
        <v>High</v>
      </c>
      <c r="J274" t="s">
        <v>13</v>
      </c>
      <c r="K274" s="1">
        <v>44008</v>
      </c>
      <c r="L274">
        <f t="shared" ca="1" si="8"/>
        <v>5</v>
      </c>
      <c r="M274" t="str" cm="1">
        <f t="array" aca="1" ref="M274" ca="1">_xlfn.IFS( L274 &lt;=2, "New", L274&lt;=6, "Engaged", L274 &gt;6, "Loyal")</f>
        <v>Engaged</v>
      </c>
      <c r="N274">
        <f t="shared" si="9"/>
        <v>2020</v>
      </c>
    </row>
    <row r="275" spans="1:14" x14ac:dyDescent="0.25">
      <c r="A275" t="s">
        <v>570</v>
      </c>
      <c r="B275" t="s">
        <v>571</v>
      </c>
      <c r="C275" t="s">
        <v>16</v>
      </c>
      <c r="D275">
        <v>26</v>
      </c>
      <c r="E275" t="str" cm="1">
        <f t="array" ref="E275">_xlfn.IFS(D275 &lt; 26, "Gen Z", D275 &lt;= 41, "Millennials", D275 &lt;= 57, "Gen X", D275 &gt;= 58, "Boomers")</f>
        <v>Millennials</v>
      </c>
      <c r="F275" t="s">
        <v>17</v>
      </c>
      <c r="G275" t="s">
        <v>26</v>
      </c>
      <c r="H275">
        <v>40581</v>
      </c>
      <c r="I275" t="str" cm="1">
        <f t="array" ref="I275">_xlfn.IFS(H275 &lt; 30000, "Low", H275 &lt; 60000, "Medium", H275 &lt; 100000, "High", H275 &gt;= 100000, "Premium")</f>
        <v>Medium</v>
      </c>
      <c r="J275" t="s">
        <v>13</v>
      </c>
      <c r="K275" s="1">
        <v>45559</v>
      </c>
      <c r="L275">
        <f t="shared" ca="1" si="8"/>
        <v>1</v>
      </c>
      <c r="M275" t="str" cm="1">
        <f t="array" aca="1" ref="M275" ca="1">_xlfn.IFS( L275 &lt;=2, "New", L275&lt;=6, "Engaged", L275 &gt;6, "Loyal")</f>
        <v>New</v>
      </c>
      <c r="N275">
        <f t="shared" si="9"/>
        <v>2024</v>
      </c>
    </row>
    <row r="276" spans="1:14" x14ac:dyDescent="0.25">
      <c r="A276" t="s">
        <v>572</v>
      </c>
      <c r="B276" t="s">
        <v>573</v>
      </c>
      <c r="C276" t="s">
        <v>10</v>
      </c>
      <c r="D276">
        <v>24</v>
      </c>
      <c r="E276" t="str" cm="1">
        <f t="array" ref="E276">_xlfn.IFS(D276 &lt; 26, "Gen Z", D276 &lt;= 41, "Millennials", D276 &lt;= 57, "Gen X", D276 &gt;= 58, "Boomers")</f>
        <v>Gen Z</v>
      </c>
      <c r="F276" t="s">
        <v>33</v>
      </c>
      <c r="G276" t="s">
        <v>22</v>
      </c>
      <c r="H276">
        <v>50087</v>
      </c>
      <c r="I276" t="str" cm="1">
        <f t="array" ref="I276">_xlfn.IFS(H276 &lt; 30000, "Low", H276 &lt; 60000, "Medium", H276 &lt; 100000, "High", H276 &gt;= 100000, "Premium")</f>
        <v>Medium</v>
      </c>
      <c r="J276" t="s">
        <v>19</v>
      </c>
      <c r="K276" s="1">
        <v>43775</v>
      </c>
      <c r="L276">
        <f t="shared" ca="1" si="8"/>
        <v>6</v>
      </c>
      <c r="M276" t="str" cm="1">
        <f t="array" aca="1" ref="M276" ca="1">_xlfn.IFS( L276 &lt;=2, "New", L276&lt;=6, "Engaged", L276 &gt;6, "Loyal")</f>
        <v>Engaged</v>
      </c>
      <c r="N276">
        <f t="shared" si="9"/>
        <v>2019</v>
      </c>
    </row>
    <row r="277" spans="1:14" x14ac:dyDescent="0.25">
      <c r="A277" t="s">
        <v>574</v>
      </c>
      <c r="B277" t="s">
        <v>575</v>
      </c>
      <c r="C277" t="s">
        <v>16</v>
      </c>
      <c r="D277">
        <v>45</v>
      </c>
      <c r="E277" t="str" cm="1">
        <f t="array" ref="E277">_xlfn.IFS(D277 &lt; 26, "Gen Z", D277 &lt;= 41, "Millennials", D277 &lt;= 57, "Gen X", D277 &gt;= 58, "Boomers")</f>
        <v>Gen X</v>
      </c>
      <c r="F277" t="s">
        <v>33</v>
      </c>
      <c r="G277" t="s">
        <v>30</v>
      </c>
      <c r="H277">
        <v>184053</v>
      </c>
      <c r="I277" t="str" cm="1">
        <f t="array" ref="I277">_xlfn.IFS(H277 &lt; 30000, "Low", H277 &lt; 60000, "Medium", H277 &lt; 100000, "High", H277 &gt;= 100000, "Premium")</f>
        <v>Premium</v>
      </c>
      <c r="J277" t="s">
        <v>13</v>
      </c>
      <c r="K277" s="1">
        <v>44122</v>
      </c>
      <c r="L277">
        <f t="shared" ca="1" si="8"/>
        <v>5</v>
      </c>
      <c r="M277" t="str" cm="1">
        <f t="array" aca="1" ref="M277" ca="1">_xlfn.IFS( L277 &lt;=2, "New", L277&lt;=6, "Engaged", L277 &gt;6, "Loyal")</f>
        <v>Engaged</v>
      </c>
      <c r="N277">
        <f t="shared" si="9"/>
        <v>2020</v>
      </c>
    </row>
    <row r="278" spans="1:14" x14ac:dyDescent="0.25">
      <c r="A278" t="s">
        <v>576</v>
      </c>
      <c r="B278" t="s">
        <v>577</v>
      </c>
      <c r="C278" t="s">
        <v>10</v>
      </c>
      <c r="D278">
        <v>31</v>
      </c>
      <c r="E278" t="str" cm="1">
        <f t="array" ref="E278">_xlfn.IFS(D278 &lt; 26, "Gen Z", D278 &lt;= 41, "Millennials", D278 &lt;= 57, "Gen X", D278 &gt;= 58, "Boomers")</f>
        <v>Millennials</v>
      </c>
      <c r="F278" t="s">
        <v>29</v>
      </c>
      <c r="G278" t="s">
        <v>26</v>
      </c>
      <c r="H278">
        <v>89298</v>
      </c>
      <c r="I278" t="str" cm="1">
        <f t="array" ref="I278">_xlfn.IFS(H278 &lt; 30000, "Low", H278 &lt; 60000, "Medium", H278 &lt; 100000, "High", H278 &gt;= 100000, "Premium")</f>
        <v>High</v>
      </c>
      <c r="J278" t="s">
        <v>13</v>
      </c>
      <c r="K278" s="1">
        <v>43083</v>
      </c>
      <c r="L278">
        <f t="shared" ca="1" si="8"/>
        <v>8</v>
      </c>
      <c r="M278" t="str" cm="1">
        <f t="array" aca="1" ref="M278" ca="1">_xlfn.IFS( L278 &lt;=2, "New", L278&lt;=6, "Engaged", L278 &gt;6, "Loyal")</f>
        <v>Loyal</v>
      </c>
      <c r="N278">
        <f t="shared" si="9"/>
        <v>2017</v>
      </c>
    </row>
    <row r="279" spans="1:14" x14ac:dyDescent="0.25">
      <c r="A279" t="s">
        <v>578</v>
      </c>
      <c r="B279" t="s">
        <v>579</v>
      </c>
      <c r="C279" t="s">
        <v>16</v>
      </c>
      <c r="D279">
        <v>48</v>
      </c>
      <c r="E279" t="str" cm="1">
        <f t="array" ref="E279">_xlfn.IFS(D279 &lt; 26, "Gen Z", D279 &lt;= 41, "Millennials", D279 &lt;= 57, "Gen X", D279 &gt;= 58, "Boomers")</f>
        <v>Gen X</v>
      </c>
      <c r="F279" t="s">
        <v>29</v>
      </c>
      <c r="G279" t="s">
        <v>12</v>
      </c>
      <c r="H279">
        <v>66167</v>
      </c>
      <c r="I279" t="str" cm="1">
        <f t="array" ref="I279">_xlfn.IFS(H279 &lt; 30000, "Low", H279 &lt; 60000, "Medium", H279 &lt; 100000, "High", H279 &gt;= 100000, "Premium")</f>
        <v>High</v>
      </c>
      <c r="J279" t="s">
        <v>23</v>
      </c>
      <c r="K279" s="1">
        <v>43497</v>
      </c>
      <c r="L279">
        <f t="shared" ca="1" si="8"/>
        <v>7</v>
      </c>
      <c r="M279" t="str" cm="1">
        <f t="array" aca="1" ref="M279" ca="1">_xlfn.IFS( L279 &lt;=2, "New", L279&lt;=6, "Engaged", L279 &gt;6, "Loyal")</f>
        <v>Loyal</v>
      </c>
      <c r="N279">
        <f t="shared" si="9"/>
        <v>2019</v>
      </c>
    </row>
    <row r="280" spans="1:14" x14ac:dyDescent="0.25">
      <c r="A280" t="s">
        <v>580</v>
      </c>
      <c r="B280" t="s">
        <v>581</v>
      </c>
      <c r="C280" t="s">
        <v>10</v>
      </c>
      <c r="D280">
        <v>69</v>
      </c>
      <c r="E280" t="str" cm="1">
        <f t="array" ref="E280">_xlfn.IFS(D280 &lt; 26, "Gen Z", D280 &lt;= 41, "Millennials", D280 &lt;= 57, "Gen X", D280 &gt;= 58, "Boomers")</f>
        <v>Boomers</v>
      </c>
      <c r="F280" t="s">
        <v>17</v>
      </c>
      <c r="G280" t="s">
        <v>36</v>
      </c>
      <c r="H280">
        <v>194480</v>
      </c>
      <c r="I280" t="str" cm="1">
        <f t="array" ref="I280">_xlfn.IFS(H280 &lt; 30000, "Low", H280 &lt; 60000, "Medium", H280 &lt; 100000, "High", H280 &gt;= 100000, "Premium")</f>
        <v>Premium</v>
      </c>
      <c r="J280" t="s">
        <v>13</v>
      </c>
      <c r="K280" s="1">
        <v>43316</v>
      </c>
      <c r="L280">
        <f t="shared" ca="1" si="8"/>
        <v>7</v>
      </c>
      <c r="M280" t="str" cm="1">
        <f t="array" aca="1" ref="M280" ca="1">_xlfn.IFS( L280 &lt;=2, "New", L280&lt;=6, "Engaged", L280 &gt;6, "Loyal")</f>
        <v>Loyal</v>
      </c>
      <c r="N280">
        <f t="shared" si="9"/>
        <v>2018</v>
      </c>
    </row>
    <row r="281" spans="1:14" x14ac:dyDescent="0.25">
      <c r="A281" t="s">
        <v>582</v>
      </c>
      <c r="B281" t="s">
        <v>583</v>
      </c>
      <c r="C281" t="s">
        <v>16</v>
      </c>
      <c r="D281">
        <v>36</v>
      </c>
      <c r="E281" t="str" cm="1">
        <f t="array" ref="E281">_xlfn.IFS(D281 &lt; 26, "Gen Z", D281 &lt;= 41, "Millennials", D281 &lt;= 57, "Gen X", D281 &gt;= 58, "Boomers")</f>
        <v>Millennials</v>
      </c>
      <c r="F281" t="s">
        <v>29</v>
      </c>
      <c r="G281" t="s">
        <v>41</v>
      </c>
      <c r="H281">
        <v>59499</v>
      </c>
      <c r="I281" t="str" cm="1">
        <f t="array" ref="I281">_xlfn.IFS(H281 &lt; 30000, "Low", H281 &lt; 60000, "Medium", H281 &lt; 100000, "High", H281 &gt;= 100000, "Premium")</f>
        <v>Medium</v>
      </c>
      <c r="J281" t="s">
        <v>19</v>
      </c>
      <c r="K281" s="1">
        <v>42882</v>
      </c>
      <c r="L281">
        <f t="shared" ca="1" si="8"/>
        <v>8</v>
      </c>
      <c r="M281" t="str" cm="1">
        <f t="array" aca="1" ref="M281" ca="1">_xlfn.IFS( L281 &lt;=2, "New", L281&lt;=6, "Engaged", L281 &gt;6, "Loyal")</f>
        <v>Loyal</v>
      </c>
      <c r="N281">
        <f t="shared" si="9"/>
        <v>2017</v>
      </c>
    </row>
    <row r="282" spans="1:14" x14ac:dyDescent="0.25">
      <c r="A282" t="s">
        <v>584</v>
      </c>
      <c r="B282" t="s">
        <v>585</v>
      </c>
      <c r="C282" t="s">
        <v>16</v>
      </c>
      <c r="D282">
        <v>64</v>
      </c>
      <c r="E282" t="str" cm="1">
        <f t="array" ref="E282">_xlfn.IFS(D282 &lt; 26, "Gen Z", D282 &lt;= 41, "Millennials", D282 &lt;= 57, "Gen X", D282 &gt;= 58, "Boomers")</f>
        <v>Boomers</v>
      </c>
      <c r="F282" t="s">
        <v>17</v>
      </c>
      <c r="G282" t="s">
        <v>30</v>
      </c>
      <c r="H282">
        <v>145816</v>
      </c>
      <c r="I282" t="str" cm="1">
        <f t="array" ref="I282">_xlfn.IFS(H282 &lt; 30000, "Low", H282 &lt; 60000, "Medium", H282 &lt; 100000, "High", H282 &gt;= 100000, "Premium")</f>
        <v>Premium</v>
      </c>
      <c r="J282" t="s">
        <v>23</v>
      </c>
      <c r="K282" s="1">
        <v>44500</v>
      </c>
      <c r="L282">
        <f t="shared" ca="1" si="8"/>
        <v>4</v>
      </c>
      <c r="M282" t="str" cm="1">
        <f t="array" aca="1" ref="M282" ca="1">_xlfn.IFS( L282 &lt;=2, "New", L282&lt;=6, "Engaged", L282 &gt;6, "Loyal")</f>
        <v>Engaged</v>
      </c>
      <c r="N282">
        <f t="shared" si="9"/>
        <v>2021</v>
      </c>
    </row>
    <row r="283" spans="1:14" x14ac:dyDescent="0.25">
      <c r="A283" t="s">
        <v>586</v>
      </c>
      <c r="B283" t="s">
        <v>587</v>
      </c>
      <c r="C283" t="s">
        <v>16</v>
      </c>
      <c r="D283">
        <v>33</v>
      </c>
      <c r="E283" t="str" cm="1">
        <f t="array" ref="E283">_xlfn.IFS(D283 &lt; 26, "Gen Z", D283 &lt;= 41, "Millennials", D283 &lt;= 57, "Gen X", D283 &gt;= 58, "Boomers")</f>
        <v>Millennials</v>
      </c>
      <c r="F283" t="s">
        <v>33</v>
      </c>
      <c r="G283" t="s">
        <v>12</v>
      </c>
      <c r="H283">
        <v>189631</v>
      </c>
      <c r="I283" t="str" cm="1">
        <f t="array" ref="I283">_xlfn.IFS(H283 &lt; 30000, "Low", H283 &lt; 60000, "Medium", H283 &lt; 100000, "High", H283 &gt;= 100000, "Premium")</f>
        <v>Premium</v>
      </c>
      <c r="J283" t="s">
        <v>13</v>
      </c>
      <c r="K283" s="1">
        <v>42880</v>
      </c>
      <c r="L283">
        <f t="shared" ca="1" si="8"/>
        <v>8</v>
      </c>
      <c r="M283" t="str" cm="1">
        <f t="array" aca="1" ref="M283" ca="1">_xlfn.IFS( L283 &lt;=2, "New", L283&lt;=6, "Engaged", L283 &gt;6, "Loyal")</f>
        <v>Loyal</v>
      </c>
      <c r="N283">
        <f t="shared" si="9"/>
        <v>2017</v>
      </c>
    </row>
    <row r="284" spans="1:14" x14ac:dyDescent="0.25">
      <c r="A284" t="s">
        <v>588</v>
      </c>
      <c r="B284" t="s">
        <v>589</v>
      </c>
      <c r="C284" t="s">
        <v>16</v>
      </c>
      <c r="D284">
        <v>70</v>
      </c>
      <c r="E284" t="str" cm="1">
        <f t="array" ref="E284">_xlfn.IFS(D284 &lt; 26, "Gen Z", D284 &lt;= 41, "Millennials", D284 &lt;= 57, "Gen X", D284 &gt;= 58, "Boomers")</f>
        <v>Boomers</v>
      </c>
      <c r="F284" t="s">
        <v>33</v>
      </c>
      <c r="G284" t="s">
        <v>22</v>
      </c>
      <c r="H284">
        <v>116347</v>
      </c>
      <c r="I284" t="str" cm="1">
        <f t="array" ref="I284">_xlfn.IFS(H284 &lt; 30000, "Low", H284 &lt; 60000, "Medium", H284 &lt; 100000, "High", H284 &gt;= 100000, "Premium")</f>
        <v>Premium</v>
      </c>
      <c r="J284" t="s">
        <v>13</v>
      </c>
      <c r="K284" s="1">
        <v>42754</v>
      </c>
      <c r="L284">
        <f t="shared" ca="1" si="8"/>
        <v>9</v>
      </c>
      <c r="M284" t="str" cm="1">
        <f t="array" aca="1" ref="M284" ca="1">_xlfn.IFS( L284 &lt;=2, "New", L284&lt;=6, "Engaged", L284 &gt;6, "Loyal")</f>
        <v>Loyal</v>
      </c>
      <c r="N284">
        <f t="shared" si="9"/>
        <v>2017</v>
      </c>
    </row>
    <row r="285" spans="1:14" x14ac:dyDescent="0.25">
      <c r="A285" t="s">
        <v>590</v>
      </c>
      <c r="B285" t="s">
        <v>591</v>
      </c>
      <c r="C285" t="s">
        <v>10</v>
      </c>
      <c r="D285">
        <v>22</v>
      </c>
      <c r="E285" t="str" cm="1">
        <f t="array" ref="E285">_xlfn.IFS(D285 &lt; 26, "Gen Z", D285 &lt;= 41, "Millennials", D285 &lt;= 57, "Gen X", D285 &gt;= 58, "Boomers")</f>
        <v>Gen Z</v>
      </c>
      <c r="F285" t="s">
        <v>11</v>
      </c>
      <c r="G285" t="s">
        <v>18</v>
      </c>
      <c r="H285">
        <v>68787</v>
      </c>
      <c r="I285" t="str" cm="1">
        <f t="array" ref="I285">_xlfn.IFS(H285 &lt; 30000, "Low", H285 &lt; 60000, "Medium", H285 &lt; 100000, "High", H285 &gt;= 100000, "Premium")</f>
        <v>High</v>
      </c>
      <c r="J285" t="s">
        <v>13</v>
      </c>
      <c r="K285" s="1">
        <v>42305</v>
      </c>
      <c r="L285">
        <f t="shared" ca="1" si="8"/>
        <v>10</v>
      </c>
      <c r="M285" t="str" cm="1">
        <f t="array" aca="1" ref="M285" ca="1">_xlfn.IFS( L285 &lt;=2, "New", L285&lt;=6, "Engaged", L285 &gt;6, "Loyal")</f>
        <v>Loyal</v>
      </c>
      <c r="N285">
        <f t="shared" si="9"/>
        <v>2015</v>
      </c>
    </row>
    <row r="286" spans="1:14" x14ac:dyDescent="0.25">
      <c r="A286" t="s">
        <v>592</v>
      </c>
      <c r="B286" t="s">
        <v>593</v>
      </c>
      <c r="C286" t="s">
        <v>16</v>
      </c>
      <c r="D286">
        <v>52</v>
      </c>
      <c r="E286" t="str" cm="1">
        <f t="array" ref="E286">_xlfn.IFS(D286 &lt; 26, "Gen Z", D286 &lt;= 41, "Millennials", D286 &lt;= 57, "Gen X", D286 &gt;= 58, "Boomers")</f>
        <v>Gen X</v>
      </c>
      <c r="F286" t="s">
        <v>33</v>
      </c>
      <c r="G286" t="s">
        <v>26</v>
      </c>
      <c r="H286">
        <v>55488</v>
      </c>
      <c r="I286" t="str" cm="1">
        <f t="array" ref="I286">_xlfn.IFS(H286 &lt; 30000, "Low", H286 &lt; 60000, "Medium", H286 &lt; 100000, "High", H286 &gt;= 100000, "Premium")</f>
        <v>Medium</v>
      </c>
      <c r="J286" t="s">
        <v>13</v>
      </c>
      <c r="K286" s="1">
        <v>44249</v>
      </c>
      <c r="L286">
        <f t="shared" ca="1" si="8"/>
        <v>5</v>
      </c>
      <c r="M286" t="str" cm="1">
        <f t="array" aca="1" ref="M286" ca="1">_xlfn.IFS( L286 &lt;=2, "New", L286&lt;=6, "Engaged", L286 &gt;6, "Loyal")</f>
        <v>Engaged</v>
      </c>
      <c r="N286">
        <f t="shared" si="9"/>
        <v>2021</v>
      </c>
    </row>
    <row r="287" spans="1:14" x14ac:dyDescent="0.25">
      <c r="A287" t="s">
        <v>594</v>
      </c>
      <c r="B287" t="s">
        <v>595</v>
      </c>
      <c r="C287" t="s">
        <v>10</v>
      </c>
      <c r="D287">
        <v>29</v>
      </c>
      <c r="E287" t="str" cm="1">
        <f t="array" ref="E287">_xlfn.IFS(D287 &lt; 26, "Gen Z", D287 &lt;= 41, "Millennials", D287 &lt;= 57, "Gen X", D287 &gt;= 58, "Boomers")</f>
        <v>Millennials</v>
      </c>
      <c r="F287" t="s">
        <v>29</v>
      </c>
      <c r="G287" t="s">
        <v>36</v>
      </c>
      <c r="H287">
        <v>94441</v>
      </c>
      <c r="I287" t="str" cm="1">
        <f t="array" ref="I287">_xlfn.IFS(H287 &lt; 30000, "Low", H287 &lt; 60000, "Medium", H287 &lt; 100000, "High", H287 &gt;= 100000, "Premium")</f>
        <v>High</v>
      </c>
      <c r="J287" t="s">
        <v>13</v>
      </c>
      <c r="K287" s="1">
        <v>43856</v>
      </c>
      <c r="L287">
        <f t="shared" ca="1" si="8"/>
        <v>6</v>
      </c>
      <c r="M287" t="str" cm="1">
        <f t="array" aca="1" ref="M287" ca="1">_xlfn.IFS( L287 &lt;=2, "New", L287&lt;=6, "Engaged", L287 &gt;6, "Loyal")</f>
        <v>Engaged</v>
      </c>
      <c r="N287">
        <f t="shared" si="9"/>
        <v>2020</v>
      </c>
    </row>
    <row r="288" spans="1:14" x14ac:dyDescent="0.25">
      <c r="A288" t="s">
        <v>596</v>
      </c>
      <c r="B288" t="s">
        <v>597</v>
      </c>
      <c r="C288" t="s">
        <v>10</v>
      </c>
      <c r="D288">
        <v>42</v>
      </c>
      <c r="E288" t="str" cm="1">
        <f t="array" ref="E288">_xlfn.IFS(D288 &lt; 26, "Gen Z", D288 &lt;= 41, "Millennials", D288 &lt;= 57, "Gen X", D288 &gt;= 58, "Boomers")</f>
        <v>Gen X</v>
      </c>
      <c r="F288" t="s">
        <v>33</v>
      </c>
      <c r="G288" t="s">
        <v>26</v>
      </c>
      <c r="H288">
        <v>42431</v>
      </c>
      <c r="I288" t="str" cm="1">
        <f t="array" ref="I288">_xlfn.IFS(H288 &lt; 30000, "Low", H288 &lt; 60000, "Medium", H288 &lt; 100000, "High", H288 &gt;= 100000, "Premium")</f>
        <v>Medium</v>
      </c>
      <c r="J288" t="s">
        <v>19</v>
      </c>
      <c r="K288" s="1">
        <v>45769</v>
      </c>
      <c r="L288">
        <f t="shared" ca="1" si="8"/>
        <v>1</v>
      </c>
      <c r="M288" t="str" cm="1">
        <f t="array" aca="1" ref="M288" ca="1">_xlfn.IFS( L288 &lt;=2, "New", L288&lt;=6, "Engaged", L288 &gt;6, "Loyal")</f>
        <v>New</v>
      </c>
      <c r="N288">
        <f t="shared" si="9"/>
        <v>2025</v>
      </c>
    </row>
    <row r="289" spans="1:14" x14ac:dyDescent="0.25">
      <c r="A289" t="s">
        <v>598</v>
      </c>
      <c r="B289" t="s">
        <v>599</v>
      </c>
      <c r="C289" t="s">
        <v>10</v>
      </c>
      <c r="D289">
        <v>69</v>
      </c>
      <c r="E289" t="str" cm="1">
        <f t="array" ref="E289">_xlfn.IFS(D289 &lt; 26, "Gen Z", D289 &lt;= 41, "Millennials", D289 &lt;= 57, "Gen X", D289 &gt;= 58, "Boomers")</f>
        <v>Boomers</v>
      </c>
      <c r="F289" t="s">
        <v>17</v>
      </c>
      <c r="G289" t="s">
        <v>41</v>
      </c>
      <c r="H289">
        <v>81681</v>
      </c>
      <c r="I289" t="str" cm="1">
        <f t="array" ref="I289">_xlfn.IFS(H289 &lt; 30000, "Low", H289 &lt; 60000, "Medium", H289 &lt; 100000, "High", H289 &gt;= 100000, "Premium")</f>
        <v>High</v>
      </c>
      <c r="J289" t="s">
        <v>13</v>
      </c>
      <c r="K289" s="1">
        <v>44856</v>
      </c>
      <c r="L289">
        <f t="shared" ca="1" si="8"/>
        <v>3</v>
      </c>
      <c r="M289" t="str" cm="1">
        <f t="array" aca="1" ref="M289" ca="1">_xlfn.IFS( L289 &lt;=2, "New", L289&lt;=6, "Engaged", L289 &gt;6, "Loyal")</f>
        <v>Engaged</v>
      </c>
      <c r="N289">
        <f t="shared" si="9"/>
        <v>2022</v>
      </c>
    </row>
    <row r="290" spans="1:14" x14ac:dyDescent="0.25">
      <c r="A290" t="s">
        <v>600</v>
      </c>
      <c r="B290" t="s">
        <v>601</v>
      </c>
      <c r="C290" t="s">
        <v>10</v>
      </c>
      <c r="D290">
        <v>38</v>
      </c>
      <c r="E290" t="str" cm="1">
        <f t="array" ref="E290">_xlfn.IFS(D290 &lt; 26, "Gen Z", D290 &lt;= 41, "Millennials", D290 &lt;= 57, "Gen X", D290 &gt;= 58, "Boomers")</f>
        <v>Millennials</v>
      </c>
      <c r="F290" t="s">
        <v>33</v>
      </c>
      <c r="G290" t="s">
        <v>22</v>
      </c>
      <c r="H290">
        <v>142720</v>
      </c>
      <c r="I290" t="str" cm="1">
        <f t="array" ref="I290">_xlfn.IFS(H290 &lt; 30000, "Low", H290 &lt; 60000, "Medium", H290 &lt; 100000, "High", H290 &gt;= 100000, "Premium")</f>
        <v>Premium</v>
      </c>
      <c r="J290" t="s">
        <v>13</v>
      </c>
      <c r="K290" s="1">
        <v>44265</v>
      </c>
      <c r="L290">
        <f t="shared" ca="1" si="8"/>
        <v>5</v>
      </c>
      <c r="M290" t="str" cm="1">
        <f t="array" aca="1" ref="M290" ca="1">_xlfn.IFS( L290 &lt;=2, "New", L290&lt;=6, "Engaged", L290 &gt;6, "Loyal")</f>
        <v>Engaged</v>
      </c>
      <c r="N290">
        <f t="shared" si="9"/>
        <v>2021</v>
      </c>
    </row>
    <row r="291" spans="1:14" x14ac:dyDescent="0.25">
      <c r="A291" t="s">
        <v>602</v>
      </c>
      <c r="B291" t="s">
        <v>603</v>
      </c>
      <c r="C291" t="s">
        <v>16</v>
      </c>
      <c r="D291">
        <v>53</v>
      </c>
      <c r="E291" t="str" cm="1">
        <f t="array" ref="E291">_xlfn.IFS(D291 &lt; 26, "Gen Z", D291 &lt;= 41, "Millennials", D291 &lt;= 57, "Gen X", D291 &gt;= 58, "Boomers")</f>
        <v>Gen X</v>
      </c>
      <c r="F291" t="s">
        <v>11</v>
      </c>
      <c r="G291" t="s">
        <v>26</v>
      </c>
      <c r="H291">
        <v>69153</v>
      </c>
      <c r="I291" t="str" cm="1">
        <f t="array" ref="I291">_xlfn.IFS(H291 &lt; 30000, "Low", H291 &lt; 60000, "Medium", H291 &lt; 100000, "High", H291 &gt;= 100000, "Premium")</f>
        <v>High</v>
      </c>
      <c r="J291" t="s">
        <v>23</v>
      </c>
      <c r="K291" s="1">
        <v>42617</v>
      </c>
      <c r="L291">
        <f t="shared" ca="1" si="8"/>
        <v>9</v>
      </c>
      <c r="M291" t="str" cm="1">
        <f t="array" aca="1" ref="M291" ca="1">_xlfn.IFS( L291 &lt;=2, "New", L291&lt;=6, "Engaged", L291 &gt;6, "Loyal")</f>
        <v>Loyal</v>
      </c>
      <c r="N291">
        <f t="shared" si="9"/>
        <v>2016</v>
      </c>
    </row>
    <row r="292" spans="1:14" x14ac:dyDescent="0.25">
      <c r="A292" t="s">
        <v>604</v>
      </c>
      <c r="B292" t="s">
        <v>605</v>
      </c>
      <c r="C292" t="s">
        <v>10</v>
      </c>
      <c r="D292">
        <v>70</v>
      </c>
      <c r="E292" t="str" cm="1">
        <f t="array" ref="E292">_xlfn.IFS(D292 &lt; 26, "Gen Z", D292 &lt;= 41, "Millennials", D292 &lt;= 57, "Gen X", D292 &gt;= 58, "Boomers")</f>
        <v>Boomers</v>
      </c>
      <c r="F292" t="s">
        <v>33</v>
      </c>
      <c r="G292" t="s">
        <v>36</v>
      </c>
      <c r="H292">
        <v>26368</v>
      </c>
      <c r="I292" t="str" cm="1">
        <f t="array" ref="I292">_xlfn.IFS(H292 &lt; 30000, "Low", H292 &lt; 60000, "Medium", H292 &lt; 100000, "High", H292 &gt;= 100000, "Premium")</f>
        <v>Low</v>
      </c>
      <c r="J292" t="s">
        <v>19</v>
      </c>
      <c r="K292" s="1">
        <v>43499</v>
      </c>
      <c r="L292">
        <f t="shared" ca="1" si="8"/>
        <v>7</v>
      </c>
      <c r="M292" t="str" cm="1">
        <f t="array" aca="1" ref="M292" ca="1">_xlfn.IFS( L292 &lt;=2, "New", L292&lt;=6, "Engaged", L292 &gt;6, "Loyal")</f>
        <v>Loyal</v>
      </c>
      <c r="N292">
        <f t="shared" si="9"/>
        <v>2019</v>
      </c>
    </row>
    <row r="293" spans="1:14" x14ac:dyDescent="0.25">
      <c r="A293" t="s">
        <v>606</v>
      </c>
      <c r="B293" t="s">
        <v>607</v>
      </c>
      <c r="C293" t="s">
        <v>10</v>
      </c>
      <c r="D293">
        <v>40</v>
      </c>
      <c r="E293" t="str" cm="1">
        <f t="array" ref="E293">_xlfn.IFS(D293 &lt; 26, "Gen Z", D293 &lt;= 41, "Millennials", D293 &lt;= 57, "Gen X", D293 &gt;= 58, "Boomers")</f>
        <v>Millennials</v>
      </c>
      <c r="F293" t="s">
        <v>17</v>
      </c>
      <c r="G293" t="s">
        <v>22</v>
      </c>
      <c r="H293">
        <v>178496</v>
      </c>
      <c r="I293" t="str" cm="1">
        <f t="array" ref="I293">_xlfn.IFS(H293 &lt; 30000, "Low", H293 &lt; 60000, "Medium", H293 &lt; 100000, "High", H293 &gt;= 100000, "Premium")</f>
        <v>Premium</v>
      </c>
      <c r="J293" t="s">
        <v>19</v>
      </c>
      <c r="K293" s="1">
        <v>44893</v>
      </c>
      <c r="L293">
        <f t="shared" ca="1" si="8"/>
        <v>3</v>
      </c>
      <c r="M293" t="str" cm="1">
        <f t="array" aca="1" ref="M293" ca="1">_xlfn.IFS( L293 &lt;=2, "New", L293&lt;=6, "Engaged", L293 &gt;6, "Loyal")</f>
        <v>Engaged</v>
      </c>
      <c r="N293">
        <f t="shared" si="9"/>
        <v>2022</v>
      </c>
    </row>
    <row r="294" spans="1:14" x14ac:dyDescent="0.25">
      <c r="A294" t="s">
        <v>608</v>
      </c>
      <c r="B294" t="s">
        <v>609</v>
      </c>
      <c r="C294" t="s">
        <v>10</v>
      </c>
      <c r="D294">
        <v>33</v>
      </c>
      <c r="E294" t="str" cm="1">
        <f t="array" ref="E294">_xlfn.IFS(D294 &lt; 26, "Gen Z", D294 &lt;= 41, "Millennials", D294 &lt;= 57, "Gen X", D294 &gt;= 58, "Boomers")</f>
        <v>Millennials</v>
      </c>
      <c r="F294" t="s">
        <v>17</v>
      </c>
      <c r="G294" t="s">
        <v>26</v>
      </c>
      <c r="H294">
        <v>132360</v>
      </c>
      <c r="I294" t="str" cm="1">
        <f t="array" ref="I294">_xlfn.IFS(H294 &lt; 30000, "Low", H294 &lt; 60000, "Medium", H294 &lt; 100000, "High", H294 &gt;= 100000, "Premium")</f>
        <v>Premium</v>
      </c>
      <c r="J294" t="s">
        <v>13</v>
      </c>
      <c r="K294" s="1">
        <v>42674</v>
      </c>
      <c r="L294">
        <f t="shared" ca="1" si="8"/>
        <v>9</v>
      </c>
      <c r="M294" t="str" cm="1">
        <f t="array" aca="1" ref="M294" ca="1">_xlfn.IFS( L294 &lt;=2, "New", L294&lt;=6, "Engaged", L294 &gt;6, "Loyal")</f>
        <v>Loyal</v>
      </c>
      <c r="N294">
        <f t="shared" si="9"/>
        <v>2016</v>
      </c>
    </row>
    <row r="295" spans="1:14" x14ac:dyDescent="0.25">
      <c r="A295" t="s">
        <v>610</v>
      </c>
      <c r="B295" t="s">
        <v>611</v>
      </c>
      <c r="C295" t="s">
        <v>16</v>
      </c>
      <c r="D295">
        <v>74</v>
      </c>
      <c r="E295" t="str" cm="1">
        <f t="array" ref="E295">_xlfn.IFS(D295 &lt; 26, "Gen Z", D295 &lt;= 41, "Millennials", D295 &lt;= 57, "Gen X", D295 &gt;= 58, "Boomers")</f>
        <v>Boomers</v>
      </c>
      <c r="F295" t="s">
        <v>29</v>
      </c>
      <c r="G295" t="s">
        <v>18</v>
      </c>
      <c r="H295">
        <v>196076</v>
      </c>
      <c r="I295" t="str" cm="1">
        <f t="array" ref="I295">_xlfn.IFS(H295 &lt; 30000, "Low", H295 &lt; 60000, "Medium", H295 &lt; 100000, "High", H295 &gt;= 100000, "Premium")</f>
        <v>Premium</v>
      </c>
      <c r="J295" t="s">
        <v>19</v>
      </c>
      <c r="K295" s="1">
        <v>43335</v>
      </c>
      <c r="L295">
        <f t="shared" ca="1" si="8"/>
        <v>7</v>
      </c>
      <c r="M295" t="str" cm="1">
        <f t="array" aca="1" ref="M295" ca="1">_xlfn.IFS( L295 &lt;=2, "New", L295&lt;=6, "Engaged", L295 &gt;6, "Loyal")</f>
        <v>Loyal</v>
      </c>
      <c r="N295">
        <f t="shared" si="9"/>
        <v>2018</v>
      </c>
    </row>
    <row r="296" spans="1:14" x14ac:dyDescent="0.25">
      <c r="A296" t="s">
        <v>612</v>
      </c>
      <c r="B296" t="s">
        <v>613</v>
      </c>
      <c r="C296" t="s">
        <v>16</v>
      </c>
      <c r="D296">
        <v>56</v>
      </c>
      <c r="E296" t="str" cm="1">
        <f t="array" ref="E296">_xlfn.IFS(D296 &lt; 26, "Gen Z", D296 &lt;= 41, "Millennials", D296 &lt;= 57, "Gen X", D296 &gt;= 58, "Boomers")</f>
        <v>Gen X</v>
      </c>
      <c r="F296" t="s">
        <v>33</v>
      </c>
      <c r="G296" t="s">
        <v>30</v>
      </c>
      <c r="H296">
        <v>132755</v>
      </c>
      <c r="I296" t="str" cm="1">
        <f t="array" ref="I296">_xlfn.IFS(H296 &lt; 30000, "Low", H296 &lt; 60000, "Medium", H296 &lt; 100000, "High", H296 &gt;= 100000, "Premium")</f>
        <v>Premium</v>
      </c>
      <c r="J296" t="s">
        <v>13</v>
      </c>
      <c r="K296" s="1">
        <v>42510</v>
      </c>
      <c r="L296">
        <f t="shared" ca="1" si="8"/>
        <v>9</v>
      </c>
      <c r="M296" t="str" cm="1">
        <f t="array" aca="1" ref="M296" ca="1">_xlfn.IFS( L296 &lt;=2, "New", L296&lt;=6, "Engaged", L296 &gt;6, "Loyal")</f>
        <v>Loyal</v>
      </c>
      <c r="N296">
        <f t="shared" si="9"/>
        <v>2016</v>
      </c>
    </row>
    <row r="297" spans="1:14" x14ac:dyDescent="0.25">
      <c r="A297" t="s">
        <v>614</v>
      </c>
      <c r="B297" t="s">
        <v>615</v>
      </c>
      <c r="C297" t="s">
        <v>16</v>
      </c>
      <c r="D297">
        <v>62</v>
      </c>
      <c r="E297" t="str" cm="1">
        <f t="array" ref="E297">_xlfn.IFS(D297 &lt; 26, "Gen Z", D297 &lt;= 41, "Millennials", D297 &lt;= 57, "Gen X", D297 &gt;= 58, "Boomers")</f>
        <v>Boomers</v>
      </c>
      <c r="F297" t="s">
        <v>17</v>
      </c>
      <c r="G297" t="s">
        <v>22</v>
      </c>
      <c r="H297">
        <v>76985</v>
      </c>
      <c r="I297" t="str" cm="1">
        <f t="array" ref="I297">_xlfn.IFS(H297 &lt; 30000, "Low", H297 &lt; 60000, "Medium", H297 &lt; 100000, "High", H297 &gt;= 100000, "Premium")</f>
        <v>High</v>
      </c>
      <c r="J297" t="s">
        <v>13</v>
      </c>
      <c r="K297" s="1">
        <v>44646</v>
      </c>
      <c r="L297">
        <f t="shared" ca="1" si="8"/>
        <v>4</v>
      </c>
      <c r="M297" t="str" cm="1">
        <f t="array" aca="1" ref="M297" ca="1">_xlfn.IFS( L297 &lt;=2, "New", L297&lt;=6, "Engaged", L297 &gt;6, "Loyal")</f>
        <v>Engaged</v>
      </c>
      <c r="N297">
        <f t="shared" si="9"/>
        <v>2022</v>
      </c>
    </row>
    <row r="298" spans="1:14" x14ac:dyDescent="0.25">
      <c r="A298" t="s">
        <v>616</v>
      </c>
      <c r="B298" t="s">
        <v>617</v>
      </c>
      <c r="C298" t="s">
        <v>16</v>
      </c>
      <c r="D298">
        <v>70</v>
      </c>
      <c r="E298" t="str" cm="1">
        <f t="array" ref="E298">_xlfn.IFS(D298 &lt; 26, "Gen Z", D298 &lt;= 41, "Millennials", D298 &lt;= 57, "Gen X", D298 &gt;= 58, "Boomers")</f>
        <v>Boomers</v>
      </c>
      <c r="F298" t="s">
        <v>11</v>
      </c>
      <c r="G298" t="s">
        <v>30</v>
      </c>
      <c r="H298">
        <v>70069</v>
      </c>
      <c r="I298" t="str" cm="1">
        <f t="array" ref="I298">_xlfn.IFS(H298 &lt; 30000, "Low", H298 &lt; 60000, "Medium", H298 &lt; 100000, "High", H298 &gt;= 100000, "Premium")</f>
        <v>High</v>
      </c>
      <c r="J298" t="s">
        <v>13</v>
      </c>
      <c r="K298" s="1">
        <v>44862</v>
      </c>
      <c r="L298">
        <f t="shared" ca="1" si="8"/>
        <v>3</v>
      </c>
      <c r="M298" t="str" cm="1">
        <f t="array" aca="1" ref="M298" ca="1">_xlfn.IFS( L298 &lt;=2, "New", L298&lt;=6, "Engaged", L298 &gt;6, "Loyal")</f>
        <v>Engaged</v>
      </c>
      <c r="N298">
        <f t="shared" si="9"/>
        <v>2022</v>
      </c>
    </row>
    <row r="299" spans="1:14" x14ac:dyDescent="0.25">
      <c r="A299" t="s">
        <v>618</v>
      </c>
      <c r="B299" t="s">
        <v>619</v>
      </c>
      <c r="C299" t="s">
        <v>10</v>
      </c>
      <c r="D299">
        <v>59</v>
      </c>
      <c r="E299" t="str" cm="1">
        <f t="array" ref="E299">_xlfn.IFS(D299 &lt; 26, "Gen Z", D299 &lt;= 41, "Millennials", D299 &lt;= 57, "Gen X", D299 &gt;= 58, "Boomers")</f>
        <v>Boomers</v>
      </c>
      <c r="F299" t="s">
        <v>29</v>
      </c>
      <c r="G299" t="s">
        <v>22</v>
      </c>
      <c r="H299">
        <v>72326</v>
      </c>
      <c r="I299" t="str" cm="1">
        <f t="array" ref="I299">_xlfn.IFS(H299 &lt; 30000, "Low", H299 &lt; 60000, "Medium", H299 &lt; 100000, "High", H299 &gt;= 100000, "Premium")</f>
        <v>High</v>
      </c>
      <c r="J299" t="s">
        <v>19</v>
      </c>
      <c r="K299" s="1">
        <v>42922</v>
      </c>
      <c r="L299">
        <f t="shared" ca="1" si="8"/>
        <v>8</v>
      </c>
      <c r="M299" t="str" cm="1">
        <f t="array" aca="1" ref="M299" ca="1">_xlfn.IFS( L299 &lt;=2, "New", L299&lt;=6, "Engaged", L299 &gt;6, "Loyal")</f>
        <v>Loyal</v>
      </c>
      <c r="N299">
        <f t="shared" si="9"/>
        <v>2017</v>
      </c>
    </row>
    <row r="300" spans="1:14" x14ac:dyDescent="0.25">
      <c r="A300" t="s">
        <v>620</v>
      </c>
      <c r="B300" t="s">
        <v>621</v>
      </c>
      <c r="C300" t="s">
        <v>10</v>
      </c>
      <c r="D300">
        <v>56</v>
      </c>
      <c r="E300" t="str" cm="1">
        <f t="array" ref="E300">_xlfn.IFS(D300 &lt; 26, "Gen Z", D300 &lt;= 41, "Millennials", D300 &lt;= 57, "Gen X", D300 &gt;= 58, "Boomers")</f>
        <v>Gen X</v>
      </c>
      <c r="F300" t="s">
        <v>11</v>
      </c>
      <c r="G300" t="s">
        <v>18</v>
      </c>
      <c r="H300">
        <v>128737</v>
      </c>
      <c r="I300" t="str" cm="1">
        <f t="array" ref="I300">_xlfn.IFS(H300 &lt; 30000, "Low", H300 &lt; 60000, "Medium", H300 &lt; 100000, "High", H300 &gt;= 100000, "Premium")</f>
        <v>Premium</v>
      </c>
      <c r="J300" t="s">
        <v>13</v>
      </c>
      <c r="K300" s="1">
        <v>45200</v>
      </c>
      <c r="L300">
        <f t="shared" ca="1" si="8"/>
        <v>2</v>
      </c>
      <c r="M300" t="str" cm="1">
        <f t="array" aca="1" ref="M300" ca="1">_xlfn.IFS( L300 &lt;=2, "New", L300&lt;=6, "Engaged", L300 &gt;6, "Loyal")</f>
        <v>New</v>
      </c>
      <c r="N300">
        <f t="shared" si="9"/>
        <v>2023</v>
      </c>
    </row>
    <row r="301" spans="1:14" x14ac:dyDescent="0.25">
      <c r="A301" t="s">
        <v>622</v>
      </c>
      <c r="B301" t="s">
        <v>623</v>
      </c>
      <c r="C301" t="s">
        <v>16</v>
      </c>
      <c r="D301">
        <v>31</v>
      </c>
      <c r="E301" t="str" cm="1">
        <f t="array" ref="E301">_xlfn.IFS(D301 &lt; 26, "Gen Z", D301 &lt;= 41, "Millennials", D301 &lt;= 57, "Gen X", D301 &gt;= 58, "Boomers")</f>
        <v>Millennials</v>
      </c>
      <c r="F301" t="s">
        <v>33</v>
      </c>
      <c r="G301" t="s">
        <v>30</v>
      </c>
      <c r="H301">
        <v>174470</v>
      </c>
      <c r="I301" t="str" cm="1">
        <f t="array" ref="I301">_xlfn.IFS(H301 &lt; 30000, "Low", H301 &lt; 60000, "Medium", H301 &lt; 100000, "High", H301 &gt;= 100000, "Premium")</f>
        <v>Premium</v>
      </c>
      <c r="J301" t="s">
        <v>13</v>
      </c>
      <c r="K301" s="1">
        <v>45402</v>
      </c>
      <c r="L301">
        <f t="shared" ca="1" si="8"/>
        <v>2</v>
      </c>
      <c r="M301" t="str" cm="1">
        <f t="array" aca="1" ref="M301" ca="1">_xlfn.IFS( L301 &lt;=2, "New", L301&lt;=6, "Engaged", L301 &gt;6, "Loyal")</f>
        <v>New</v>
      </c>
      <c r="N301">
        <f t="shared" si="9"/>
        <v>2024</v>
      </c>
    </row>
    <row r="302" spans="1:14" x14ac:dyDescent="0.25">
      <c r="A302" t="s">
        <v>624</v>
      </c>
      <c r="B302" t="s">
        <v>625</v>
      </c>
      <c r="C302" t="s">
        <v>10</v>
      </c>
      <c r="D302">
        <v>48</v>
      </c>
      <c r="E302" t="str" cm="1">
        <f t="array" ref="E302">_xlfn.IFS(D302 &lt; 26, "Gen Z", D302 &lt;= 41, "Millennials", D302 &lt;= 57, "Gen X", D302 &gt;= 58, "Boomers")</f>
        <v>Gen X</v>
      </c>
      <c r="F302" t="s">
        <v>33</v>
      </c>
      <c r="G302" t="s">
        <v>12</v>
      </c>
      <c r="H302">
        <v>70861</v>
      </c>
      <c r="I302" t="str" cm="1">
        <f t="array" ref="I302">_xlfn.IFS(H302 &lt; 30000, "Low", H302 &lt; 60000, "Medium", H302 &lt; 100000, "High", H302 &gt;= 100000, "Premium")</f>
        <v>High</v>
      </c>
      <c r="J302" t="s">
        <v>13</v>
      </c>
      <c r="K302" s="1">
        <v>45334</v>
      </c>
      <c r="L302">
        <f t="shared" ca="1" si="8"/>
        <v>2</v>
      </c>
      <c r="M302" t="str" cm="1">
        <f t="array" aca="1" ref="M302" ca="1">_xlfn.IFS( L302 &lt;=2, "New", L302&lt;=6, "Engaged", L302 &gt;6, "Loyal")</f>
        <v>New</v>
      </c>
      <c r="N302">
        <f t="shared" si="9"/>
        <v>2024</v>
      </c>
    </row>
    <row r="303" spans="1:14" x14ac:dyDescent="0.25">
      <c r="A303" t="s">
        <v>626</v>
      </c>
      <c r="B303" t="s">
        <v>627</v>
      </c>
      <c r="C303" t="s">
        <v>10</v>
      </c>
      <c r="D303">
        <v>22</v>
      </c>
      <c r="E303" t="str" cm="1">
        <f t="array" ref="E303">_xlfn.IFS(D303 &lt; 26, "Gen Z", D303 &lt;= 41, "Millennials", D303 &lt;= 57, "Gen X", D303 &gt;= 58, "Boomers")</f>
        <v>Gen Z</v>
      </c>
      <c r="F303" t="s">
        <v>33</v>
      </c>
      <c r="G303" t="s">
        <v>36</v>
      </c>
      <c r="H303">
        <v>95897</v>
      </c>
      <c r="I303" t="str" cm="1">
        <f t="array" ref="I303">_xlfn.IFS(H303 &lt; 30000, "Low", H303 &lt; 60000, "Medium", H303 &lt; 100000, "High", H303 &gt;= 100000, "Premium")</f>
        <v>High</v>
      </c>
      <c r="J303" t="s">
        <v>13</v>
      </c>
      <c r="K303" s="1">
        <v>44473</v>
      </c>
      <c r="L303">
        <f t="shared" ca="1" si="8"/>
        <v>4</v>
      </c>
      <c r="M303" t="str" cm="1">
        <f t="array" aca="1" ref="M303" ca="1">_xlfn.IFS( L303 &lt;=2, "New", L303&lt;=6, "Engaged", L303 &gt;6, "Loyal")</f>
        <v>Engaged</v>
      </c>
      <c r="N303">
        <f t="shared" si="9"/>
        <v>2021</v>
      </c>
    </row>
    <row r="304" spans="1:14" x14ac:dyDescent="0.25">
      <c r="A304" t="s">
        <v>628</v>
      </c>
      <c r="B304" t="s">
        <v>629</v>
      </c>
      <c r="C304" t="s">
        <v>10</v>
      </c>
      <c r="D304">
        <v>52</v>
      </c>
      <c r="E304" t="str" cm="1">
        <f t="array" ref="E304">_xlfn.IFS(D304 &lt; 26, "Gen Z", D304 &lt;= 41, "Millennials", D304 &lt;= 57, "Gen X", D304 &gt;= 58, "Boomers")</f>
        <v>Gen X</v>
      </c>
      <c r="F304" t="s">
        <v>29</v>
      </c>
      <c r="G304" t="s">
        <v>12</v>
      </c>
      <c r="H304">
        <v>147118</v>
      </c>
      <c r="I304" t="str" cm="1">
        <f t="array" ref="I304">_xlfn.IFS(H304 &lt; 30000, "Low", H304 &lt; 60000, "Medium", H304 &lt; 100000, "High", H304 &gt;= 100000, "Premium")</f>
        <v>Premium</v>
      </c>
      <c r="J304" t="s">
        <v>19</v>
      </c>
      <c r="K304" s="1">
        <v>44957</v>
      </c>
      <c r="L304">
        <f t="shared" ca="1" si="8"/>
        <v>3</v>
      </c>
      <c r="M304" t="str" cm="1">
        <f t="array" aca="1" ref="M304" ca="1">_xlfn.IFS( L304 &lt;=2, "New", L304&lt;=6, "Engaged", L304 &gt;6, "Loyal")</f>
        <v>Engaged</v>
      </c>
      <c r="N304">
        <f t="shared" si="9"/>
        <v>2023</v>
      </c>
    </row>
    <row r="305" spans="1:14" x14ac:dyDescent="0.25">
      <c r="A305" t="s">
        <v>630</v>
      </c>
      <c r="B305" t="s">
        <v>631</v>
      </c>
      <c r="C305" t="s">
        <v>16</v>
      </c>
      <c r="D305">
        <v>40</v>
      </c>
      <c r="E305" t="str" cm="1">
        <f t="array" ref="E305">_xlfn.IFS(D305 &lt; 26, "Gen Z", D305 &lt;= 41, "Millennials", D305 &lt;= 57, "Gen X", D305 &gt;= 58, "Boomers")</f>
        <v>Millennials</v>
      </c>
      <c r="F305" t="s">
        <v>17</v>
      </c>
      <c r="G305" t="s">
        <v>26</v>
      </c>
      <c r="H305">
        <v>88577</v>
      </c>
      <c r="I305" t="str" cm="1">
        <f t="array" ref="I305">_xlfn.IFS(H305 &lt; 30000, "Low", H305 &lt; 60000, "Medium", H305 &lt; 100000, "High", H305 &gt;= 100000, "Premium")</f>
        <v>High</v>
      </c>
      <c r="J305" t="s">
        <v>19</v>
      </c>
      <c r="K305" s="1">
        <v>43251</v>
      </c>
      <c r="L305">
        <f t="shared" ca="1" si="8"/>
        <v>7</v>
      </c>
      <c r="M305" t="str" cm="1">
        <f t="array" aca="1" ref="M305" ca="1">_xlfn.IFS( L305 &lt;=2, "New", L305&lt;=6, "Engaged", L305 &gt;6, "Loyal")</f>
        <v>Loyal</v>
      </c>
      <c r="N305">
        <f t="shared" si="9"/>
        <v>2018</v>
      </c>
    </row>
    <row r="306" spans="1:14" x14ac:dyDescent="0.25">
      <c r="A306" t="s">
        <v>632</v>
      </c>
      <c r="B306" t="s">
        <v>633</v>
      </c>
      <c r="C306" t="s">
        <v>16</v>
      </c>
      <c r="D306">
        <v>46</v>
      </c>
      <c r="E306" t="str" cm="1">
        <f t="array" ref="E306">_xlfn.IFS(D306 &lt; 26, "Gen Z", D306 &lt;= 41, "Millennials", D306 &lt;= 57, "Gen X", D306 &gt;= 58, "Boomers")</f>
        <v>Gen X</v>
      </c>
      <c r="F306" t="s">
        <v>29</v>
      </c>
      <c r="G306" t="s">
        <v>18</v>
      </c>
      <c r="H306">
        <v>29078</v>
      </c>
      <c r="I306" t="str" cm="1">
        <f t="array" ref="I306">_xlfn.IFS(H306 &lt; 30000, "Low", H306 &lt; 60000, "Medium", H306 &lt; 100000, "High", H306 &gt;= 100000, "Premium")</f>
        <v>Low</v>
      </c>
      <c r="J306" t="s">
        <v>19</v>
      </c>
      <c r="K306" s="1">
        <v>43041</v>
      </c>
      <c r="L306">
        <f t="shared" ca="1" si="8"/>
        <v>8</v>
      </c>
      <c r="M306" t="str" cm="1">
        <f t="array" aca="1" ref="M306" ca="1">_xlfn.IFS( L306 &lt;=2, "New", L306&lt;=6, "Engaged", L306 &gt;6, "Loyal")</f>
        <v>Loyal</v>
      </c>
      <c r="N306">
        <f t="shared" si="9"/>
        <v>2017</v>
      </c>
    </row>
    <row r="307" spans="1:14" x14ac:dyDescent="0.25">
      <c r="A307" t="s">
        <v>634</v>
      </c>
      <c r="B307" t="s">
        <v>635</v>
      </c>
      <c r="C307" t="s">
        <v>10</v>
      </c>
      <c r="D307">
        <v>60</v>
      </c>
      <c r="E307" t="str" cm="1">
        <f t="array" ref="E307">_xlfn.IFS(D307 &lt; 26, "Gen Z", D307 &lt;= 41, "Millennials", D307 &lt;= 57, "Gen X", D307 &gt;= 58, "Boomers")</f>
        <v>Boomers</v>
      </c>
      <c r="F307" t="s">
        <v>11</v>
      </c>
      <c r="G307" t="s">
        <v>12</v>
      </c>
      <c r="H307">
        <v>176075</v>
      </c>
      <c r="I307" t="str" cm="1">
        <f t="array" ref="I307">_xlfn.IFS(H307 &lt; 30000, "Low", H307 &lt; 60000, "Medium", H307 &lt; 100000, "High", H307 &gt;= 100000, "Premium")</f>
        <v>Premium</v>
      </c>
      <c r="J307" t="s">
        <v>13</v>
      </c>
      <c r="K307" s="1">
        <v>43261</v>
      </c>
      <c r="L307">
        <f t="shared" ca="1" si="8"/>
        <v>7</v>
      </c>
      <c r="M307" t="str" cm="1">
        <f t="array" aca="1" ref="M307" ca="1">_xlfn.IFS( L307 &lt;=2, "New", L307&lt;=6, "Engaged", L307 &gt;6, "Loyal")</f>
        <v>Loyal</v>
      </c>
      <c r="N307">
        <f t="shared" si="9"/>
        <v>2018</v>
      </c>
    </row>
    <row r="308" spans="1:14" x14ac:dyDescent="0.25">
      <c r="A308" t="s">
        <v>636</v>
      </c>
      <c r="B308" t="s">
        <v>637</v>
      </c>
      <c r="C308" t="s">
        <v>16</v>
      </c>
      <c r="D308">
        <v>28</v>
      </c>
      <c r="E308" t="str" cm="1">
        <f t="array" ref="E308">_xlfn.IFS(D308 &lt; 26, "Gen Z", D308 &lt;= 41, "Millennials", D308 &lt;= 57, "Gen X", D308 &gt;= 58, "Boomers")</f>
        <v>Millennials</v>
      </c>
      <c r="F308" t="s">
        <v>29</v>
      </c>
      <c r="G308" t="s">
        <v>22</v>
      </c>
      <c r="H308">
        <v>82768</v>
      </c>
      <c r="I308" t="str" cm="1">
        <f t="array" ref="I308">_xlfn.IFS(H308 &lt; 30000, "Low", H308 &lt; 60000, "Medium", H308 &lt; 100000, "High", H308 &gt;= 100000, "Premium")</f>
        <v>High</v>
      </c>
      <c r="J308" t="s">
        <v>13</v>
      </c>
      <c r="K308" s="1">
        <v>42293</v>
      </c>
      <c r="L308">
        <f t="shared" ca="1" si="8"/>
        <v>10</v>
      </c>
      <c r="M308" t="str" cm="1">
        <f t="array" aca="1" ref="M308" ca="1">_xlfn.IFS( L308 &lt;=2, "New", L308&lt;=6, "Engaged", L308 &gt;6, "Loyal")</f>
        <v>Loyal</v>
      </c>
      <c r="N308">
        <f t="shared" si="9"/>
        <v>2015</v>
      </c>
    </row>
    <row r="309" spans="1:14" x14ac:dyDescent="0.25">
      <c r="A309" t="s">
        <v>638</v>
      </c>
      <c r="B309" t="s">
        <v>639</v>
      </c>
      <c r="C309" t="s">
        <v>16</v>
      </c>
      <c r="D309">
        <v>35</v>
      </c>
      <c r="E309" t="str" cm="1">
        <f t="array" ref="E309">_xlfn.IFS(D309 &lt; 26, "Gen Z", D309 &lt;= 41, "Millennials", D309 &lt;= 57, "Gen X", D309 &gt;= 58, "Boomers")</f>
        <v>Millennials</v>
      </c>
      <c r="F309" t="s">
        <v>11</v>
      </c>
      <c r="G309" t="s">
        <v>26</v>
      </c>
      <c r="H309">
        <v>71047</v>
      </c>
      <c r="I309" t="str" cm="1">
        <f t="array" ref="I309">_xlfn.IFS(H309 &lt; 30000, "Low", H309 &lt; 60000, "Medium", H309 &lt; 100000, "High", H309 &gt;= 100000, "Premium")</f>
        <v>High</v>
      </c>
      <c r="J309" t="s">
        <v>13</v>
      </c>
      <c r="K309" s="1">
        <v>42239</v>
      </c>
      <c r="L309">
        <f t="shared" ca="1" si="8"/>
        <v>10</v>
      </c>
      <c r="M309" t="str" cm="1">
        <f t="array" aca="1" ref="M309" ca="1">_xlfn.IFS( L309 &lt;=2, "New", L309&lt;=6, "Engaged", L309 &gt;6, "Loyal")</f>
        <v>Loyal</v>
      </c>
      <c r="N309">
        <f t="shared" si="9"/>
        <v>2015</v>
      </c>
    </row>
    <row r="310" spans="1:14" x14ac:dyDescent="0.25">
      <c r="A310" t="s">
        <v>640</v>
      </c>
      <c r="B310" t="s">
        <v>641</v>
      </c>
      <c r="C310" t="s">
        <v>16</v>
      </c>
      <c r="D310">
        <v>64</v>
      </c>
      <c r="E310" t="str" cm="1">
        <f t="array" ref="E310">_xlfn.IFS(D310 &lt; 26, "Gen Z", D310 &lt;= 41, "Millennials", D310 &lt;= 57, "Gen X", D310 &gt;= 58, "Boomers")</f>
        <v>Boomers</v>
      </c>
      <c r="F310" t="s">
        <v>29</v>
      </c>
      <c r="G310" t="s">
        <v>26</v>
      </c>
      <c r="H310">
        <v>91626</v>
      </c>
      <c r="I310" t="str" cm="1">
        <f t="array" ref="I310">_xlfn.IFS(H310 &lt; 30000, "Low", H310 &lt; 60000, "Medium", H310 &lt; 100000, "High", H310 &gt;= 100000, "Premium")</f>
        <v>High</v>
      </c>
      <c r="J310" t="s">
        <v>13</v>
      </c>
      <c r="K310" s="1">
        <v>42506</v>
      </c>
      <c r="L310">
        <f t="shared" ca="1" si="8"/>
        <v>9</v>
      </c>
      <c r="M310" t="str" cm="1">
        <f t="array" aca="1" ref="M310" ca="1">_xlfn.IFS( L310 &lt;=2, "New", L310&lt;=6, "Engaged", L310 &gt;6, "Loyal")</f>
        <v>Loyal</v>
      </c>
      <c r="N310">
        <f t="shared" si="9"/>
        <v>2016</v>
      </c>
    </row>
    <row r="311" spans="1:14" x14ac:dyDescent="0.25">
      <c r="A311" t="s">
        <v>642</v>
      </c>
      <c r="B311" t="s">
        <v>643</v>
      </c>
      <c r="C311" t="s">
        <v>16</v>
      </c>
      <c r="D311">
        <v>29</v>
      </c>
      <c r="E311" t="str" cm="1">
        <f t="array" ref="E311">_xlfn.IFS(D311 &lt; 26, "Gen Z", D311 &lt;= 41, "Millennials", D311 &lt;= 57, "Gen X", D311 &gt;= 58, "Boomers")</f>
        <v>Millennials</v>
      </c>
      <c r="F311" t="s">
        <v>17</v>
      </c>
      <c r="G311" t="s">
        <v>12</v>
      </c>
      <c r="H311">
        <v>77660</v>
      </c>
      <c r="I311" t="str" cm="1">
        <f t="array" ref="I311">_xlfn.IFS(H311 &lt; 30000, "Low", H311 &lt; 60000, "Medium", H311 &lt; 100000, "High", H311 &gt;= 100000, "Premium")</f>
        <v>High</v>
      </c>
      <c r="J311" t="s">
        <v>13</v>
      </c>
      <c r="K311" s="1">
        <v>42720</v>
      </c>
      <c r="L311">
        <f t="shared" ca="1" si="8"/>
        <v>9</v>
      </c>
      <c r="M311" t="str" cm="1">
        <f t="array" aca="1" ref="M311" ca="1">_xlfn.IFS( L311 &lt;=2, "New", L311&lt;=6, "Engaged", L311 &gt;6, "Loyal")</f>
        <v>Loyal</v>
      </c>
      <c r="N311">
        <f t="shared" si="9"/>
        <v>2016</v>
      </c>
    </row>
    <row r="312" spans="1:14" x14ac:dyDescent="0.25">
      <c r="A312" t="s">
        <v>644</v>
      </c>
      <c r="B312" t="s">
        <v>645</v>
      </c>
      <c r="C312" t="s">
        <v>16</v>
      </c>
      <c r="D312">
        <v>26</v>
      </c>
      <c r="E312" t="str" cm="1">
        <f t="array" ref="E312">_xlfn.IFS(D312 &lt; 26, "Gen Z", D312 &lt;= 41, "Millennials", D312 &lt;= 57, "Gen X", D312 &gt;= 58, "Boomers")</f>
        <v>Millennials</v>
      </c>
      <c r="F312" t="s">
        <v>11</v>
      </c>
      <c r="G312" t="s">
        <v>12</v>
      </c>
      <c r="H312">
        <v>152997</v>
      </c>
      <c r="I312" t="str" cm="1">
        <f t="array" ref="I312">_xlfn.IFS(H312 &lt; 30000, "Low", H312 &lt; 60000, "Medium", H312 &lt; 100000, "High", H312 &gt;= 100000, "Premium")</f>
        <v>Premium</v>
      </c>
      <c r="J312" t="s">
        <v>19</v>
      </c>
      <c r="K312" s="1">
        <v>42861</v>
      </c>
      <c r="L312">
        <f t="shared" ca="1" si="8"/>
        <v>8</v>
      </c>
      <c r="M312" t="str" cm="1">
        <f t="array" aca="1" ref="M312" ca="1">_xlfn.IFS( L312 &lt;=2, "New", L312&lt;=6, "Engaged", L312 &gt;6, "Loyal")</f>
        <v>Loyal</v>
      </c>
      <c r="N312">
        <f t="shared" si="9"/>
        <v>2017</v>
      </c>
    </row>
    <row r="313" spans="1:14" x14ac:dyDescent="0.25">
      <c r="A313" t="s">
        <v>646</v>
      </c>
      <c r="B313" t="s">
        <v>647</v>
      </c>
      <c r="C313" t="s">
        <v>10</v>
      </c>
      <c r="D313">
        <v>27</v>
      </c>
      <c r="E313" t="str" cm="1">
        <f t="array" ref="E313">_xlfn.IFS(D313 &lt; 26, "Gen Z", D313 &lt;= 41, "Millennials", D313 &lt;= 57, "Gen X", D313 &gt;= 58, "Boomers")</f>
        <v>Millennials</v>
      </c>
      <c r="F313" t="s">
        <v>33</v>
      </c>
      <c r="G313" t="s">
        <v>18</v>
      </c>
      <c r="H313">
        <v>137832</v>
      </c>
      <c r="I313" t="str" cm="1">
        <f t="array" ref="I313">_xlfn.IFS(H313 &lt; 30000, "Low", H313 &lt; 60000, "Medium", H313 &lt; 100000, "High", H313 &gt;= 100000, "Premium")</f>
        <v>Premium</v>
      </c>
      <c r="J313" t="s">
        <v>13</v>
      </c>
      <c r="K313" s="1">
        <v>43767</v>
      </c>
      <c r="L313">
        <f t="shared" ca="1" si="8"/>
        <v>6</v>
      </c>
      <c r="M313" t="str" cm="1">
        <f t="array" aca="1" ref="M313" ca="1">_xlfn.IFS( L313 &lt;=2, "New", L313&lt;=6, "Engaged", L313 &gt;6, "Loyal")</f>
        <v>Engaged</v>
      </c>
      <c r="N313">
        <f t="shared" si="9"/>
        <v>2019</v>
      </c>
    </row>
    <row r="314" spans="1:14" x14ac:dyDescent="0.25">
      <c r="A314" t="s">
        <v>648</v>
      </c>
      <c r="B314" t="s">
        <v>649</v>
      </c>
      <c r="C314" t="s">
        <v>16</v>
      </c>
      <c r="D314">
        <v>61</v>
      </c>
      <c r="E314" t="str" cm="1">
        <f t="array" ref="E314">_xlfn.IFS(D314 &lt; 26, "Gen Z", D314 &lt;= 41, "Millennials", D314 &lt;= 57, "Gen X", D314 &gt;= 58, "Boomers")</f>
        <v>Boomers</v>
      </c>
      <c r="F314" t="s">
        <v>33</v>
      </c>
      <c r="G314" t="s">
        <v>36</v>
      </c>
      <c r="H314">
        <v>150406</v>
      </c>
      <c r="I314" t="str" cm="1">
        <f t="array" ref="I314">_xlfn.IFS(H314 &lt; 30000, "Low", H314 &lt; 60000, "Medium", H314 &lt; 100000, "High", H314 &gt;= 100000, "Premium")</f>
        <v>Premium</v>
      </c>
      <c r="J314" t="s">
        <v>13</v>
      </c>
      <c r="K314" s="1">
        <v>43566</v>
      </c>
      <c r="L314">
        <f t="shared" ca="1" si="8"/>
        <v>7</v>
      </c>
      <c r="M314" t="str" cm="1">
        <f t="array" aca="1" ref="M314" ca="1">_xlfn.IFS( L314 &lt;=2, "New", L314&lt;=6, "Engaged", L314 &gt;6, "Loyal")</f>
        <v>Loyal</v>
      </c>
      <c r="N314">
        <f t="shared" si="9"/>
        <v>2019</v>
      </c>
    </row>
    <row r="315" spans="1:14" x14ac:dyDescent="0.25">
      <c r="A315" t="s">
        <v>650</v>
      </c>
      <c r="B315" t="s">
        <v>651</v>
      </c>
      <c r="C315" t="s">
        <v>10</v>
      </c>
      <c r="D315">
        <v>34</v>
      </c>
      <c r="E315" t="str" cm="1">
        <f t="array" ref="E315">_xlfn.IFS(D315 &lt; 26, "Gen Z", D315 &lt;= 41, "Millennials", D315 &lt;= 57, "Gen X", D315 &gt;= 58, "Boomers")</f>
        <v>Millennials</v>
      </c>
      <c r="F315" t="s">
        <v>29</v>
      </c>
      <c r="G315" t="s">
        <v>12</v>
      </c>
      <c r="H315">
        <v>145150</v>
      </c>
      <c r="I315" t="str" cm="1">
        <f t="array" ref="I315">_xlfn.IFS(H315 &lt; 30000, "Low", H315 &lt; 60000, "Medium", H315 &lt; 100000, "High", H315 &gt;= 100000, "Premium")</f>
        <v>Premium</v>
      </c>
      <c r="J315" t="s">
        <v>13</v>
      </c>
      <c r="K315" s="1">
        <v>44714</v>
      </c>
      <c r="L315">
        <f t="shared" ca="1" si="8"/>
        <v>3</v>
      </c>
      <c r="M315" t="str" cm="1">
        <f t="array" aca="1" ref="M315" ca="1">_xlfn.IFS( L315 &lt;=2, "New", L315&lt;=6, "Engaged", L315 &gt;6, "Loyal")</f>
        <v>Engaged</v>
      </c>
      <c r="N315">
        <f t="shared" si="9"/>
        <v>2022</v>
      </c>
    </row>
    <row r="316" spans="1:14" x14ac:dyDescent="0.25">
      <c r="A316" t="s">
        <v>652</v>
      </c>
      <c r="B316" t="s">
        <v>653</v>
      </c>
      <c r="C316" t="s">
        <v>10</v>
      </c>
      <c r="D316">
        <v>55</v>
      </c>
      <c r="E316" t="str" cm="1">
        <f t="array" ref="E316">_xlfn.IFS(D316 &lt; 26, "Gen Z", D316 &lt;= 41, "Millennials", D316 &lt;= 57, "Gen X", D316 &gt;= 58, "Boomers")</f>
        <v>Gen X</v>
      </c>
      <c r="F316" t="s">
        <v>33</v>
      </c>
      <c r="G316" t="s">
        <v>41</v>
      </c>
      <c r="H316">
        <v>177087</v>
      </c>
      <c r="I316" t="str" cm="1">
        <f t="array" ref="I316">_xlfn.IFS(H316 &lt; 30000, "Low", H316 &lt; 60000, "Medium", H316 &lt; 100000, "High", H316 &gt;= 100000, "Premium")</f>
        <v>Premium</v>
      </c>
      <c r="J316" t="s">
        <v>13</v>
      </c>
      <c r="K316" s="1">
        <v>45794</v>
      </c>
      <c r="L316">
        <f t="shared" ca="1" si="8"/>
        <v>0</v>
      </c>
      <c r="M316" t="str" cm="1">
        <f t="array" aca="1" ref="M316" ca="1">_xlfn.IFS( L316 &lt;=2, "New", L316&lt;=6, "Engaged", L316 &gt;6, "Loyal")</f>
        <v>New</v>
      </c>
      <c r="N316">
        <f t="shared" si="9"/>
        <v>2025</v>
      </c>
    </row>
    <row r="317" spans="1:14" x14ac:dyDescent="0.25">
      <c r="A317" t="s">
        <v>654</v>
      </c>
      <c r="B317" t="s">
        <v>655</v>
      </c>
      <c r="C317" t="s">
        <v>16</v>
      </c>
      <c r="D317">
        <v>24</v>
      </c>
      <c r="E317" t="str" cm="1">
        <f t="array" ref="E317">_xlfn.IFS(D317 &lt; 26, "Gen Z", D317 &lt;= 41, "Millennials", D317 &lt;= 57, "Gen X", D317 &gt;= 58, "Boomers")</f>
        <v>Gen Z</v>
      </c>
      <c r="F317" t="s">
        <v>11</v>
      </c>
      <c r="G317" t="s">
        <v>12</v>
      </c>
      <c r="H317">
        <v>53320</v>
      </c>
      <c r="I317" t="str" cm="1">
        <f t="array" ref="I317">_xlfn.IFS(H317 &lt; 30000, "Low", H317 &lt; 60000, "Medium", H317 &lt; 100000, "High", H317 &gt;= 100000, "Premium")</f>
        <v>Medium</v>
      </c>
      <c r="J317" t="s">
        <v>13</v>
      </c>
      <c r="K317" s="1">
        <v>45058</v>
      </c>
      <c r="L317">
        <f t="shared" ca="1" si="8"/>
        <v>2</v>
      </c>
      <c r="M317" t="str" cm="1">
        <f t="array" aca="1" ref="M317" ca="1">_xlfn.IFS( L317 &lt;=2, "New", L317&lt;=6, "Engaged", L317 &gt;6, "Loyal")</f>
        <v>New</v>
      </c>
      <c r="N317">
        <f t="shared" si="9"/>
        <v>2023</v>
      </c>
    </row>
    <row r="318" spans="1:14" x14ac:dyDescent="0.25">
      <c r="A318" t="s">
        <v>656</v>
      </c>
      <c r="B318" t="s">
        <v>657</v>
      </c>
      <c r="C318" t="s">
        <v>10</v>
      </c>
      <c r="D318">
        <v>63</v>
      </c>
      <c r="E318" t="str" cm="1">
        <f t="array" ref="E318">_xlfn.IFS(D318 &lt; 26, "Gen Z", D318 &lt;= 41, "Millennials", D318 &lt;= 57, "Gen X", D318 &gt;= 58, "Boomers")</f>
        <v>Boomers</v>
      </c>
      <c r="F318" t="s">
        <v>33</v>
      </c>
      <c r="G318" t="s">
        <v>30</v>
      </c>
      <c r="H318">
        <v>84881</v>
      </c>
      <c r="I318" t="str" cm="1">
        <f t="array" ref="I318">_xlfn.IFS(H318 &lt; 30000, "Low", H318 &lt; 60000, "Medium", H318 &lt; 100000, "High", H318 &gt;= 100000, "Premium")</f>
        <v>High</v>
      </c>
      <c r="J318" t="s">
        <v>23</v>
      </c>
      <c r="K318" s="1">
        <v>44650</v>
      </c>
      <c r="L318">
        <f t="shared" ca="1" si="8"/>
        <v>4</v>
      </c>
      <c r="M318" t="str" cm="1">
        <f t="array" aca="1" ref="M318" ca="1">_xlfn.IFS( L318 &lt;=2, "New", L318&lt;=6, "Engaged", L318 &gt;6, "Loyal")</f>
        <v>Engaged</v>
      </c>
      <c r="N318">
        <f t="shared" si="9"/>
        <v>2022</v>
      </c>
    </row>
    <row r="319" spans="1:14" x14ac:dyDescent="0.25">
      <c r="A319" t="s">
        <v>658</v>
      </c>
      <c r="B319" t="s">
        <v>659</v>
      </c>
      <c r="C319" t="s">
        <v>10</v>
      </c>
      <c r="D319">
        <v>30</v>
      </c>
      <c r="E319" t="str" cm="1">
        <f t="array" ref="E319">_xlfn.IFS(D319 &lt; 26, "Gen Z", D319 &lt;= 41, "Millennials", D319 &lt;= 57, "Gen X", D319 &gt;= 58, "Boomers")</f>
        <v>Millennials</v>
      </c>
      <c r="F319" t="s">
        <v>17</v>
      </c>
      <c r="G319" t="s">
        <v>22</v>
      </c>
      <c r="H319">
        <v>110827</v>
      </c>
      <c r="I319" t="str" cm="1">
        <f t="array" ref="I319">_xlfn.IFS(H319 &lt; 30000, "Low", H319 &lt; 60000, "Medium", H319 &lt; 100000, "High", H319 &gt;= 100000, "Premium")</f>
        <v>Premium</v>
      </c>
      <c r="J319" t="s">
        <v>19</v>
      </c>
      <c r="K319" s="1">
        <v>42381</v>
      </c>
      <c r="L319">
        <f t="shared" ca="1" si="8"/>
        <v>10</v>
      </c>
      <c r="M319" t="str" cm="1">
        <f t="array" aca="1" ref="M319" ca="1">_xlfn.IFS( L319 &lt;=2, "New", L319&lt;=6, "Engaged", L319 &gt;6, "Loyal")</f>
        <v>Loyal</v>
      </c>
      <c r="N319">
        <f t="shared" si="9"/>
        <v>2016</v>
      </c>
    </row>
    <row r="320" spans="1:14" x14ac:dyDescent="0.25">
      <c r="A320" t="s">
        <v>660</v>
      </c>
      <c r="B320" t="s">
        <v>661</v>
      </c>
      <c r="C320" t="s">
        <v>10</v>
      </c>
      <c r="D320">
        <v>57</v>
      </c>
      <c r="E320" t="str" cm="1">
        <f t="array" ref="E320">_xlfn.IFS(D320 &lt; 26, "Gen Z", D320 &lt;= 41, "Millennials", D320 &lt;= 57, "Gen X", D320 &gt;= 58, "Boomers")</f>
        <v>Gen X</v>
      </c>
      <c r="F320" t="s">
        <v>17</v>
      </c>
      <c r="G320" t="s">
        <v>41</v>
      </c>
      <c r="H320">
        <v>122215</v>
      </c>
      <c r="I320" t="str" cm="1">
        <f t="array" ref="I320">_xlfn.IFS(H320 &lt; 30000, "Low", H320 &lt; 60000, "Medium", H320 &lt; 100000, "High", H320 &gt;= 100000, "Premium")</f>
        <v>Premium</v>
      </c>
      <c r="J320" t="s">
        <v>23</v>
      </c>
      <c r="K320" s="1">
        <v>43637</v>
      </c>
      <c r="L320">
        <f t="shared" ca="1" si="8"/>
        <v>6</v>
      </c>
      <c r="M320" t="str" cm="1">
        <f t="array" aca="1" ref="M320" ca="1">_xlfn.IFS( L320 &lt;=2, "New", L320&lt;=6, "Engaged", L320 &gt;6, "Loyal")</f>
        <v>Engaged</v>
      </c>
      <c r="N320">
        <f t="shared" si="9"/>
        <v>2019</v>
      </c>
    </row>
    <row r="321" spans="1:14" x14ac:dyDescent="0.25">
      <c r="A321" t="s">
        <v>662</v>
      </c>
      <c r="B321" t="s">
        <v>663</v>
      </c>
      <c r="C321" t="s">
        <v>16</v>
      </c>
      <c r="D321">
        <v>59</v>
      </c>
      <c r="E321" t="str" cm="1">
        <f t="array" ref="E321">_xlfn.IFS(D321 &lt; 26, "Gen Z", D321 &lt;= 41, "Millennials", D321 &lt;= 57, "Gen X", D321 &gt;= 58, "Boomers")</f>
        <v>Boomers</v>
      </c>
      <c r="F321" t="s">
        <v>29</v>
      </c>
      <c r="G321" t="s">
        <v>41</v>
      </c>
      <c r="H321">
        <v>177361</v>
      </c>
      <c r="I321" t="str" cm="1">
        <f t="array" ref="I321">_xlfn.IFS(H321 &lt; 30000, "Low", H321 &lt; 60000, "Medium", H321 &lt; 100000, "High", H321 &gt;= 100000, "Premium")</f>
        <v>Premium</v>
      </c>
      <c r="J321" t="s">
        <v>13</v>
      </c>
      <c r="K321" s="1">
        <v>45185</v>
      </c>
      <c r="L321">
        <f t="shared" ca="1" si="8"/>
        <v>2</v>
      </c>
      <c r="M321" t="str" cm="1">
        <f t="array" aca="1" ref="M321" ca="1">_xlfn.IFS( L321 &lt;=2, "New", L321&lt;=6, "Engaged", L321 &gt;6, "Loyal")</f>
        <v>New</v>
      </c>
      <c r="N321">
        <f t="shared" si="9"/>
        <v>2023</v>
      </c>
    </row>
    <row r="322" spans="1:14" x14ac:dyDescent="0.25">
      <c r="A322" t="s">
        <v>664</v>
      </c>
      <c r="B322" t="s">
        <v>665</v>
      </c>
      <c r="C322" t="s">
        <v>16</v>
      </c>
      <c r="D322">
        <v>26</v>
      </c>
      <c r="E322" t="str" cm="1">
        <f t="array" ref="E322">_xlfn.IFS(D322 &lt; 26, "Gen Z", D322 &lt;= 41, "Millennials", D322 &lt;= 57, "Gen X", D322 &gt;= 58, "Boomers")</f>
        <v>Millennials</v>
      </c>
      <c r="F322" t="s">
        <v>11</v>
      </c>
      <c r="G322" t="s">
        <v>30</v>
      </c>
      <c r="H322">
        <v>154461</v>
      </c>
      <c r="I322" t="str" cm="1">
        <f t="array" ref="I322">_xlfn.IFS(H322 &lt; 30000, "Low", H322 &lt; 60000, "Medium", H322 &lt; 100000, "High", H322 &gt;= 100000, "Premium")</f>
        <v>Premium</v>
      </c>
      <c r="J322" t="s">
        <v>13</v>
      </c>
      <c r="K322" s="1">
        <v>44900</v>
      </c>
      <c r="L322">
        <f t="shared" ref="L322:L385" ca="1" si="10">DATEDIF(K322, TODAY(), "Y")</f>
        <v>3</v>
      </c>
      <c r="M322" t="str" cm="1">
        <f t="array" aca="1" ref="M322" ca="1">_xlfn.IFS( L322 &lt;=2, "New", L322&lt;=6, "Engaged", L322 &gt;6, "Loyal")</f>
        <v>Engaged</v>
      </c>
      <c r="N322">
        <f t="shared" ref="N322:N385" si="11">YEAR(K322)</f>
        <v>2022</v>
      </c>
    </row>
    <row r="323" spans="1:14" x14ac:dyDescent="0.25">
      <c r="A323" t="s">
        <v>666</v>
      </c>
      <c r="B323" t="s">
        <v>667</v>
      </c>
      <c r="C323" t="s">
        <v>10</v>
      </c>
      <c r="D323">
        <v>67</v>
      </c>
      <c r="E323" t="str" cm="1">
        <f t="array" ref="E323">_xlfn.IFS(D323 &lt; 26, "Gen Z", D323 &lt;= 41, "Millennials", D323 &lt;= 57, "Gen X", D323 &gt;= 58, "Boomers")</f>
        <v>Boomers</v>
      </c>
      <c r="F323" t="s">
        <v>17</v>
      </c>
      <c r="G323" t="s">
        <v>30</v>
      </c>
      <c r="H323">
        <v>176755</v>
      </c>
      <c r="I323" t="str" cm="1">
        <f t="array" ref="I323">_xlfn.IFS(H323 &lt; 30000, "Low", H323 &lt; 60000, "Medium", H323 &lt; 100000, "High", H323 &gt;= 100000, "Premium")</f>
        <v>Premium</v>
      </c>
      <c r="J323" t="s">
        <v>13</v>
      </c>
      <c r="K323" s="1">
        <v>43613</v>
      </c>
      <c r="L323">
        <f t="shared" ca="1" si="10"/>
        <v>6</v>
      </c>
      <c r="M323" t="str" cm="1">
        <f t="array" aca="1" ref="M323" ca="1">_xlfn.IFS( L323 &lt;=2, "New", L323&lt;=6, "Engaged", L323 &gt;6, "Loyal")</f>
        <v>Engaged</v>
      </c>
      <c r="N323">
        <f t="shared" si="11"/>
        <v>2019</v>
      </c>
    </row>
    <row r="324" spans="1:14" x14ac:dyDescent="0.25">
      <c r="A324" t="s">
        <v>668</v>
      </c>
      <c r="B324" t="s">
        <v>669</v>
      </c>
      <c r="C324" t="s">
        <v>16</v>
      </c>
      <c r="D324">
        <v>44</v>
      </c>
      <c r="E324" t="str" cm="1">
        <f t="array" ref="E324">_xlfn.IFS(D324 &lt; 26, "Gen Z", D324 &lt;= 41, "Millennials", D324 &lt;= 57, "Gen X", D324 &gt;= 58, "Boomers")</f>
        <v>Gen X</v>
      </c>
      <c r="F324" t="s">
        <v>17</v>
      </c>
      <c r="G324" t="s">
        <v>26</v>
      </c>
      <c r="H324">
        <v>164701</v>
      </c>
      <c r="I324" t="str" cm="1">
        <f t="array" ref="I324">_xlfn.IFS(H324 &lt; 30000, "Low", H324 &lt; 60000, "Medium", H324 &lt; 100000, "High", H324 &gt;= 100000, "Premium")</f>
        <v>Premium</v>
      </c>
      <c r="J324" t="s">
        <v>13</v>
      </c>
      <c r="K324" s="1">
        <v>43365</v>
      </c>
      <c r="L324">
        <f t="shared" ca="1" si="10"/>
        <v>7</v>
      </c>
      <c r="M324" t="str" cm="1">
        <f t="array" aca="1" ref="M324" ca="1">_xlfn.IFS( L324 &lt;=2, "New", L324&lt;=6, "Engaged", L324 &gt;6, "Loyal")</f>
        <v>Loyal</v>
      </c>
      <c r="N324">
        <f t="shared" si="11"/>
        <v>2018</v>
      </c>
    </row>
    <row r="325" spans="1:14" x14ac:dyDescent="0.25">
      <c r="A325" t="s">
        <v>670</v>
      </c>
      <c r="B325" t="s">
        <v>671</v>
      </c>
      <c r="C325" t="s">
        <v>16</v>
      </c>
      <c r="D325">
        <v>19</v>
      </c>
      <c r="E325" t="str" cm="1">
        <f t="array" ref="E325">_xlfn.IFS(D325 &lt; 26, "Gen Z", D325 &lt;= 41, "Millennials", D325 &lt;= 57, "Gen X", D325 &gt;= 58, "Boomers")</f>
        <v>Gen Z</v>
      </c>
      <c r="F325" t="s">
        <v>11</v>
      </c>
      <c r="G325" t="s">
        <v>36</v>
      </c>
      <c r="H325">
        <v>81550</v>
      </c>
      <c r="I325" t="str" cm="1">
        <f t="array" ref="I325">_xlfn.IFS(H325 &lt; 30000, "Low", H325 &lt; 60000, "Medium", H325 &lt; 100000, "High", H325 &gt;= 100000, "Premium")</f>
        <v>High</v>
      </c>
      <c r="J325" t="s">
        <v>19</v>
      </c>
      <c r="K325" s="1">
        <v>42817</v>
      </c>
      <c r="L325">
        <f t="shared" ca="1" si="10"/>
        <v>9</v>
      </c>
      <c r="M325" t="str" cm="1">
        <f t="array" aca="1" ref="M325" ca="1">_xlfn.IFS( L325 &lt;=2, "New", L325&lt;=6, "Engaged", L325 &gt;6, "Loyal")</f>
        <v>Loyal</v>
      </c>
      <c r="N325">
        <f t="shared" si="11"/>
        <v>2017</v>
      </c>
    </row>
    <row r="326" spans="1:14" x14ac:dyDescent="0.25">
      <c r="A326" t="s">
        <v>672</v>
      </c>
      <c r="B326" t="s">
        <v>673</v>
      </c>
      <c r="C326" t="s">
        <v>16</v>
      </c>
      <c r="D326">
        <v>22</v>
      </c>
      <c r="E326" t="str" cm="1">
        <f t="array" ref="E326">_xlfn.IFS(D326 &lt; 26, "Gen Z", D326 &lt;= 41, "Millennials", D326 &lt;= 57, "Gen X", D326 &gt;= 58, "Boomers")</f>
        <v>Gen Z</v>
      </c>
      <c r="F326" t="s">
        <v>33</v>
      </c>
      <c r="G326" t="s">
        <v>22</v>
      </c>
      <c r="H326">
        <v>44826</v>
      </c>
      <c r="I326" t="str" cm="1">
        <f t="array" ref="I326">_xlfn.IFS(H326 &lt; 30000, "Low", H326 &lt; 60000, "Medium", H326 &lt; 100000, "High", H326 &gt;= 100000, "Premium")</f>
        <v>Medium</v>
      </c>
      <c r="J326" t="s">
        <v>13</v>
      </c>
      <c r="K326" s="1">
        <v>44640</v>
      </c>
      <c r="L326">
        <f t="shared" ca="1" si="10"/>
        <v>4</v>
      </c>
      <c r="M326" t="str" cm="1">
        <f t="array" aca="1" ref="M326" ca="1">_xlfn.IFS( L326 &lt;=2, "New", L326&lt;=6, "Engaged", L326 &gt;6, "Loyal")</f>
        <v>Engaged</v>
      </c>
      <c r="N326">
        <f t="shared" si="11"/>
        <v>2022</v>
      </c>
    </row>
    <row r="327" spans="1:14" x14ac:dyDescent="0.25">
      <c r="A327" t="s">
        <v>674</v>
      </c>
      <c r="B327" t="s">
        <v>675</v>
      </c>
      <c r="C327" t="s">
        <v>16</v>
      </c>
      <c r="D327">
        <v>46</v>
      </c>
      <c r="E327" t="str" cm="1">
        <f t="array" ref="E327">_xlfn.IFS(D327 &lt; 26, "Gen Z", D327 &lt;= 41, "Millennials", D327 &lt;= 57, "Gen X", D327 &gt;= 58, "Boomers")</f>
        <v>Gen X</v>
      </c>
      <c r="F327" t="s">
        <v>33</v>
      </c>
      <c r="G327" t="s">
        <v>18</v>
      </c>
      <c r="H327">
        <v>120734</v>
      </c>
      <c r="I327" t="str" cm="1">
        <f t="array" ref="I327">_xlfn.IFS(H327 &lt; 30000, "Low", H327 &lt; 60000, "Medium", H327 &lt; 100000, "High", H327 &gt;= 100000, "Premium")</f>
        <v>Premium</v>
      </c>
      <c r="J327" t="s">
        <v>13</v>
      </c>
      <c r="K327" s="1">
        <v>43847</v>
      </c>
      <c r="L327">
        <f t="shared" ca="1" si="10"/>
        <v>6</v>
      </c>
      <c r="M327" t="str" cm="1">
        <f t="array" aca="1" ref="M327" ca="1">_xlfn.IFS( L327 &lt;=2, "New", L327&lt;=6, "Engaged", L327 &gt;6, "Loyal")</f>
        <v>Engaged</v>
      </c>
      <c r="N327">
        <f t="shared" si="11"/>
        <v>2020</v>
      </c>
    </row>
    <row r="328" spans="1:14" x14ac:dyDescent="0.25">
      <c r="A328" t="s">
        <v>676</v>
      </c>
      <c r="B328" t="s">
        <v>677</v>
      </c>
      <c r="C328" t="s">
        <v>10</v>
      </c>
      <c r="D328">
        <v>54</v>
      </c>
      <c r="E328" t="str" cm="1">
        <f t="array" ref="E328">_xlfn.IFS(D328 &lt; 26, "Gen Z", D328 &lt;= 41, "Millennials", D328 &lt;= 57, "Gen X", D328 &gt;= 58, "Boomers")</f>
        <v>Gen X</v>
      </c>
      <c r="F328" t="s">
        <v>29</v>
      </c>
      <c r="G328" t="s">
        <v>41</v>
      </c>
      <c r="H328">
        <v>177702</v>
      </c>
      <c r="I328" t="str" cm="1">
        <f t="array" ref="I328">_xlfn.IFS(H328 &lt; 30000, "Low", H328 &lt; 60000, "Medium", H328 &lt; 100000, "High", H328 &gt;= 100000, "Premium")</f>
        <v>Premium</v>
      </c>
      <c r="J328" t="s">
        <v>13</v>
      </c>
      <c r="K328" s="1">
        <v>45127</v>
      </c>
      <c r="L328">
        <f t="shared" ca="1" si="10"/>
        <v>2</v>
      </c>
      <c r="M328" t="str" cm="1">
        <f t="array" aca="1" ref="M328" ca="1">_xlfn.IFS( L328 &lt;=2, "New", L328&lt;=6, "Engaged", L328 &gt;6, "Loyal")</f>
        <v>New</v>
      </c>
      <c r="N328">
        <f t="shared" si="11"/>
        <v>2023</v>
      </c>
    </row>
    <row r="329" spans="1:14" x14ac:dyDescent="0.25">
      <c r="A329" t="s">
        <v>678</v>
      </c>
      <c r="B329" t="s">
        <v>679</v>
      </c>
      <c r="C329" t="s">
        <v>10</v>
      </c>
      <c r="D329">
        <v>55</v>
      </c>
      <c r="E329" t="str" cm="1">
        <f t="array" ref="E329">_xlfn.IFS(D329 &lt; 26, "Gen Z", D329 &lt;= 41, "Millennials", D329 &lt;= 57, "Gen X", D329 &gt;= 58, "Boomers")</f>
        <v>Gen X</v>
      </c>
      <c r="F329" t="s">
        <v>33</v>
      </c>
      <c r="G329" t="s">
        <v>18</v>
      </c>
      <c r="H329">
        <v>197235</v>
      </c>
      <c r="I329" t="str" cm="1">
        <f t="array" ref="I329">_xlfn.IFS(H329 &lt; 30000, "Low", H329 &lt; 60000, "Medium", H329 &lt; 100000, "High", H329 &gt;= 100000, "Premium")</f>
        <v>Premium</v>
      </c>
      <c r="J329" t="s">
        <v>13</v>
      </c>
      <c r="K329" s="1">
        <v>44461</v>
      </c>
      <c r="L329">
        <f t="shared" ca="1" si="10"/>
        <v>4</v>
      </c>
      <c r="M329" t="str" cm="1">
        <f t="array" aca="1" ref="M329" ca="1">_xlfn.IFS( L329 &lt;=2, "New", L329&lt;=6, "Engaged", L329 &gt;6, "Loyal")</f>
        <v>Engaged</v>
      </c>
      <c r="N329">
        <f t="shared" si="11"/>
        <v>2021</v>
      </c>
    </row>
    <row r="330" spans="1:14" x14ac:dyDescent="0.25">
      <c r="A330" t="s">
        <v>680</v>
      </c>
      <c r="B330" t="s">
        <v>681</v>
      </c>
      <c r="C330" t="s">
        <v>16</v>
      </c>
      <c r="D330">
        <v>36</v>
      </c>
      <c r="E330" t="str" cm="1">
        <f t="array" ref="E330">_xlfn.IFS(D330 &lt; 26, "Gen Z", D330 &lt;= 41, "Millennials", D330 &lt;= 57, "Gen X", D330 &gt;= 58, "Boomers")</f>
        <v>Millennials</v>
      </c>
      <c r="F330" t="s">
        <v>11</v>
      </c>
      <c r="G330" t="s">
        <v>12</v>
      </c>
      <c r="H330">
        <v>118511</v>
      </c>
      <c r="I330" t="str" cm="1">
        <f t="array" ref="I330">_xlfn.IFS(H330 &lt; 30000, "Low", H330 &lt; 60000, "Medium", H330 &lt; 100000, "High", H330 &gt;= 100000, "Premium")</f>
        <v>Premium</v>
      </c>
      <c r="J330" t="s">
        <v>19</v>
      </c>
      <c r="K330" s="1">
        <v>44791</v>
      </c>
      <c r="L330">
        <f t="shared" ca="1" si="10"/>
        <v>3</v>
      </c>
      <c r="M330" t="str" cm="1">
        <f t="array" aca="1" ref="M330" ca="1">_xlfn.IFS( L330 &lt;=2, "New", L330&lt;=6, "Engaged", L330 &gt;6, "Loyal")</f>
        <v>Engaged</v>
      </c>
      <c r="N330">
        <f t="shared" si="11"/>
        <v>2022</v>
      </c>
    </row>
    <row r="331" spans="1:14" x14ac:dyDescent="0.25">
      <c r="A331" t="s">
        <v>682</v>
      </c>
      <c r="B331" t="s">
        <v>683</v>
      </c>
      <c r="C331" t="s">
        <v>16</v>
      </c>
      <c r="D331">
        <v>25</v>
      </c>
      <c r="E331" t="str" cm="1">
        <f t="array" ref="E331">_xlfn.IFS(D331 &lt; 26, "Gen Z", D331 &lt;= 41, "Millennials", D331 &lt;= 57, "Gen X", D331 &gt;= 58, "Boomers")</f>
        <v>Gen Z</v>
      </c>
      <c r="F331" t="s">
        <v>17</v>
      </c>
      <c r="G331" t="s">
        <v>12</v>
      </c>
      <c r="H331">
        <v>31653</v>
      </c>
      <c r="I331" t="str" cm="1">
        <f t="array" ref="I331">_xlfn.IFS(H331 &lt; 30000, "Low", H331 &lt; 60000, "Medium", H331 &lt; 100000, "High", H331 &gt;= 100000, "Premium")</f>
        <v>Medium</v>
      </c>
      <c r="J331" t="s">
        <v>13</v>
      </c>
      <c r="K331" s="1">
        <v>42830</v>
      </c>
      <c r="L331">
        <f t="shared" ca="1" si="10"/>
        <v>9</v>
      </c>
      <c r="M331" t="str" cm="1">
        <f t="array" aca="1" ref="M331" ca="1">_xlfn.IFS( L331 &lt;=2, "New", L331&lt;=6, "Engaged", L331 &gt;6, "Loyal")</f>
        <v>Loyal</v>
      </c>
      <c r="N331">
        <f t="shared" si="11"/>
        <v>2017</v>
      </c>
    </row>
    <row r="332" spans="1:14" x14ac:dyDescent="0.25">
      <c r="A332" t="s">
        <v>684</v>
      </c>
      <c r="B332" t="s">
        <v>685</v>
      </c>
      <c r="C332" t="s">
        <v>10</v>
      </c>
      <c r="D332">
        <v>65</v>
      </c>
      <c r="E332" t="str" cm="1">
        <f t="array" ref="E332">_xlfn.IFS(D332 &lt; 26, "Gen Z", D332 &lt;= 41, "Millennials", D332 &lt;= 57, "Gen X", D332 &gt;= 58, "Boomers")</f>
        <v>Boomers</v>
      </c>
      <c r="F332" t="s">
        <v>33</v>
      </c>
      <c r="G332" t="s">
        <v>18</v>
      </c>
      <c r="H332">
        <v>179033</v>
      </c>
      <c r="I332" t="str" cm="1">
        <f t="array" ref="I332">_xlfn.IFS(H332 &lt; 30000, "Low", H332 &lt; 60000, "Medium", H332 &lt; 100000, "High", H332 &gt;= 100000, "Premium")</f>
        <v>Premium</v>
      </c>
      <c r="J332" t="s">
        <v>13</v>
      </c>
      <c r="K332" s="1">
        <v>43776</v>
      </c>
      <c r="L332">
        <f t="shared" ca="1" si="10"/>
        <v>6</v>
      </c>
      <c r="M332" t="str" cm="1">
        <f t="array" aca="1" ref="M332" ca="1">_xlfn.IFS( L332 &lt;=2, "New", L332&lt;=6, "Engaged", L332 &gt;6, "Loyal")</f>
        <v>Engaged</v>
      </c>
      <c r="N332">
        <f t="shared" si="11"/>
        <v>2019</v>
      </c>
    </row>
    <row r="333" spans="1:14" x14ac:dyDescent="0.25">
      <c r="A333" t="s">
        <v>686</v>
      </c>
      <c r="B333" t="s">
        <v>687</v>
      </c>
      <c r="C333" t="s">
        <v>10</v>
      </c>
      <c r="D333">
        <v>62</v>
      </c>
      <c r="E333" t="str" cm="1">
        <f t="array" ref="E333">_xlfn.IFS(D333 &lt; 26, "Gen Z", D333 &lt;= 41, "Millennials", D333 &lt;= 57, "Gen X", D333 &gt;= 58, "Boomers")</f>
        <v>Boomers</v>
      </c>
      <c r="F333" t="s">
        <v>29</v>
      </c>
      <c r="G333" t="s">
        <v>12</v>
      </c>
      <c r="H333">
        <v>101941</v>
      </c>
      <c r="I333" t="str" cm="1">
        <f t="array" ref="I333">_xlfn.IFS(H333 &lt; 30000, "Low", H333 &lt; 60000, "Medium", H333 &lt; 100000, "High", H333 &gt;= 100000, "Premium")</f>
        <v>Premium</v>
      </c>
      <c r="J333" t="s">
        <v>13</v>
      </c>
      <c r="K333" s="1">
        <v>44448</v>
      </c>
      <c r="L333">
        <f t="shared" ca="1" si="10"/>
        <v>4</v>
      </c>
      <c r="M333" t="str" cm="1">
        <f t="array" aca="1" ref="M333" ca="1">_xlfn.IFS( L333 &lt;=2, "New", L333&lt;=6, "Engaged", L333 &gt;6, "Loyal")</f>
        <v>Engaged</v>
      </c>
      <c r="N333">
        <f t="shared" si="11"/>
        <v>2021</v>
      </c>
    </row>
    <row r="334" spans="1:14" x14ac:dyDescent="0.25">
      <c r="A334" t="s">
        <v>688</v>
      </c>
      <c r="B334" t="s">
        <v>689</v>
      </c>
      <c r="C334" t="s">
        <v>16</v>
      </c>
      <c r="D334">
        <v>18</v>
      </c>
      <c r="E334" t="str" cm="1">
        <f t="array" ref="E334">_xlfn.IFS(D334 &lt; 26, "Gen Z", D334 &lt;= 41, "Millennials", D334 &lt;= 57, "Gen X", D334 &gt;= 58, "Boomers")</f>
        <v>Gen Z</v>
      </c>
      <c r="F334" t="s">
        <v>33</v>
      </c>
      <c r="G334" t="s">
        <v>36</v>
      </c>
      <c r="H334">
        <v>53662</v>
      </c>
      <c r="I334" t="str" cm="1">
        <f t="array" ref="I334">_xlfn.IFS(H334 &lt; 30000, "Low", H334 &lt; 60000, "Medium", H334 &lt; 100000, "High", H334 &gt;= 100000, "Premium")</f>
        <v>Medium</v>
      </c>
      <c r="J334" t="s">
        <v>13</v>
      </c>
      <c r="K334" s="1">
        <v>42347</v>
      </c>
      <c r="L334">
        <f t="shared" ca="1" si="10"/>
        <v>10</v>
      </c>
      <c r="M334" t="str" cm="1">
        <f t="array" aca="1" ref="M334" ca="1">_xlfn.IFS( L334 &lt;=2, "New", L334&lt;=6, "Engaged", L334 &gt;6, "Loyal")</f>
        <v>Loyal</v>
      </c>
      <c r="N334">
        <f t="shared" si="11"/>
        <v>2015</v>
      </c>
    </row>
    <row r="335" spans="1:14" x14ac:dyDescent="0.25">
      <c r="A335" t="s">
        <v>690</v>
      </c>
      <c r="B335" t="s">
        <v>691</v>
      </c>
      <c r="C335" t="s">
        <v>10</v>
      </c>
      <c r="D335">
        <v>39</v>
      </c>
      <c r="E335" t="str" cm="1">
        <f t="array" ref="E335">_xlfn.IFS(D335 &lt; 26, "Gen Z", D335 &lt;= 41, "Millennials", D335 &lt;= 57, "Gen X", D335 &gt;= 58, "Boomers")</f>
        <v>Millennials</v>
      </c>
      <c r="F335" t="s">
        <v>11</v>
      </c>
      <c r="G335" t="s">
        <v>30</v>
      </c>
      <c r="H335">
        <v>118818</v>
      </c>
      <c r="I335" t="str" cm="1">
        <f t="array" ref="I335">_xlfn.IFS(H335 &lt; 30000, "Low", H335 &lt; 60000, "Medium", H335 &lt; 100000, "High", H335 &gt;= 100000, "Premium")</f>
        <v>Premium</v>
      </c>
      <c r="J335" t="s">
        <v>19</v>
      </c>
      <c r="K335" s="1">
        <v>43494</v>
      </c>
      <c r="L335">
        <f t="shared" ca="1" si="10"/>
        <v>7</v>
      </c>
      <c r="M335" t="str" cm="1">
        <f t="array" aca="1" ref="M335" ca="1">_xlfn.IFS( L335 &lt;=2, "New", L335&lt;=6, "Engaged", L335 &gt;6, "Loyal")</f>
        <v>Loyal</v>
      </c>
      <c r="N335">
        <f t="shared" si="11"/>
        <v>2019</v>
      </c>
    </row>
    <row r="336" spans="1:14" x14ac:dyDescent="0.25">
      <c r="A336" t="s">
        <v>692</v>
      </c>
      <c r="B336" t="s">
        <v>693</v>
      </c>
      <c r="C336" t="s">
        <v>16</v>
      </c>
      <c r="D336">
        <v>69</v>
      </c>
      <c r="E336" t="str" cm="1">
        <f t="array" ref="E336">_xlfn.IFS(D336 &lt; 26, "Gen Z", D336 &lt;= 41, "Millennials", D336 &lt;= 57, "Gen X", D336 &gt;= 58, "Boomers")</f>
        <v>Boomers</v>
      </c>
      <c r="F336" t="s">
        <v>29</v>
      </c>
      <c r="G336" t="s">
        <v>12</v>
      </c>
      <c r="H336">
        <v>172360</v>
      </c>
      <c r="I336" t="str" cm="1">
        <f t="array" ref="I336">_xlfn.IFS(H336 &lt; 30000, "Low", H336 &lt; 60000, "Medium", H336 &lt; 100000, "High", H336 &gt;= 100000, "Premium")</f>
        <v>Premium</v>
      </c>
      <c r="J336" t="s">
        <v>19</v>
      </c>
      <c r="K336" s="1">
        <v>44573</v>
      </c>
      <c r="L336">
        <f t="shared" ca="1" si="10"/>
        <v>4</v>
      </c>
      <c r="M336" t="str" cm="1">
        <f t="array" aca="1" ref="M336" ca="1">_xlfn.IFS( L336 &lt;=2, "New", L336&lt;=6, "Engaged", L336 &gt;6, "Loyal")</f>
        <v>Engaged</v>
      </c>
      <c r="N336">
        <f t="shared" si="11"/>
        <v>2022</v>
      </c>
    </row>
    <row r="337" spans="1:14" x14ac:dyDescent="0.25">
      <c r="A337" t="s">
        <v>694</v>
      </c>
      <c r="B337" t="s">
        <v>695</v>
      </c>
      <c r="C337" t="s">
        <v>16</v>
      </c>
      <c r="D337">
        <v>34</v>
      </c>
      <c r="E337" t="str" cm="1">
        <f t="array" ref="E337">_xlfn.IFS(D337 &lt; 26, "Gen Z", D337 &lt;= 41, "Millennials", D337 &lt;= 57, "Gen X", D337 &gt;= 58, "Boomers")</f>
        <v>Millennials</v>
      </c>
      <c r="F337" t="s">
        <v>33</v>
      </c>
      <c r="G337" t="s">
        <v>26</v>
      </c>
      <c r="H337">
        <v>115081</v>
      </c>
      <c r="I337" t="str" cm="1">
        <f t="array" ref="I337">_xlfn.IFS(H337 &lt; 30000, "Low", H337 &lt; 60000, "Medium", H337 &lt; 100000, "High", H337 &gt;= 100000, "Premium")</f>
        <v>Premium</v>
      </c>
      <c r="J337" t="s">
        <v>23</v>
      </c>
      <c r="K337" s="1">
        <v>42817</v>
      </c>
      <c r="L337">
        <f t="shared" ca="1" si="10"/>
        <v>9</v>
      </c>
      <c r="M337" t="str" cm="1">
        <f t="array" aca="1" ref="M337" ca="1">_xlfn.IFS( L337 &lt;=2, "New", L337&lt;=6, "Engaged", L337 &gt;6, "Loyal")</f>
        <v>Loyal</v>
      </c>
      <c r="N337">
        <f t="shared" si="11"/>
        <v>2017</v>
      </c>
    </row>
    <row r="338" spans="1:14" x14ac:dyDescent="0.25">
      <c r="A338" t="s">
        <v>696</v>
      </c>
      <c r="B338" t="s">
        <v>697</v>
      </c>
      <c r="C338" t="s">
        <v>10</v>
      </c>
      <c r="D338">
        <v>24</v>
      </c>
      <c r="E338" t="str" cm="1">
        <f t="array" ref="E338">_xlfn.IFS(D338 &lt; 26, "Gen Z", D338 &lt;= 41, "Millennials", D338 &lt;= 57, "Gen X", D338 &gt;= 58, "Boomers")</f>
        <v>Gen Z</v>
      </c>
      <c r="F338" t="s">
        <v>29</v>
      </c>
      <c r="G338" t="s">
        <v>12</v>
      </c>
      <c r="H338">
        <v>56877</v>
      </c>
      <c r="I338" t="str" cm="1">
        <f t="array" ref="I338">_xlfn.IFS(H338 &lt; 30000, "Low", H338 &lt; 60000, "Medium", H338 &lt; 100000, "High", H338 &gt;= 100000, "Premium")</f>
        <v>Medium</v>
      </c>
      <c r="J338" t="s">
        <v>19</v>
      </c>
      <c r="K338" s="1">
        <v>45877</v>
      </c>
      <c r="L338">
        <f t="shared" ca="1" si="10"/>
        <v>0</v>
      </c>
      <c r="M338" t="str" cm="1">
        <f t="array" aca="1" ref="M338" ca="1">_xlfn.IFS( L338 &lt;=2, "New", L338&lt;=6, "Engaged", L338 &gt;6, "Loyal")</f>
        <v>New</v>
      </c>
      <c r="N338">
        <f t="shared" si="11"/>
        <v>2025</v>
      </c>
    </row>
    <row r="339" spans="1:14" x14ac:dyDescent="0.25">
      <c r="A339" t="s">
        <v>698</v>
      </c>
      <c r="B339" t="s">
        <v>699</v>
      </c>
      <c r="C339" t="s">
        <v>10</v>
      </c>
      <c r="D339">
        <v>42</v>
      </c>
      <c r="E339" t="str" cm="1">
        <f t="array" ref="E339">_xlfn.IFS(D339 &lt; 26, "Gen Z", D339 &lt;= 41, "Millennials", D339 &lt;= 57, "Gen X", D339 &gt;= 58, "Boomers")</f>
        <v>Gen X</v>
      </c>
      <c r="F339" t="s">
        <v>11</v>
      </c>
      <c r="G339" t="s">
        <v>22</v>
      </c>
      <c r="H339">
        <v>131562</v>
      </c>
      <c r="I339" t="str" cm="1">
        <f t="array" ref="I339">_xlfn.IFS(H339 &lt; 30000, "Low", H339 &lt; 60000, "Medium", H339 &lt; 100000, "High", H339 &gt;= 100000, "Premium")</f>
        <v>Premium</v>
      </c>
      <c r="J339" t="s">
        <v>13</v>
      </c>
      <c r="K339" s="1">
        <v>44868</v>
      </c>
      <c r="L339">
        <f t="shared" ca="1" si="10"/>
        <v>3</v>
      </c>
      <c r="M339" t="str" cm="1">
        <f t="array" aca="1" ref="M339" ca="1">_xlfn.IFS( L339 &lt;=2, "New", L339&lt;=6, "Engaged", L339 &gt;6, "Loyal")</f>
        <v>Engaged</v>
      </c>
      <c r="N339">
        <f t="shared" si="11"/>
        <v>2022</v>
      </c>
    </row>
    <row r="340" spans="1:14" x14ac:dyDescent="0.25">
      <c r="A340" t="s">
        <v>700</v>
      </c>
      <c r="B340" t="s">
        <v>701</v>
      </c>
      <c r="C340" t="s">
        <v>16</v>
      </c>
      <c r="D340">
        <v>62</v>
      </c>
      <c r="E340" t="str" cm="1">
        <f t="array" ref="E340">_xlfn.IFS(D340 &lt; 26, "Gen Z", D340 &lt;= 41, "Millennials", D340 &lt;= 57, "Gen X", D340 &gt;= 58, "Boomers")</f>
        <v>Boomers</v>
      </c>
      <c r="F340" t="s">
        <v>17</v>
      </c>
      <c r="G340" t="s">
        <v>36</v>
      </c>
      <c r="H340">
        <v>166385</v>
      </c>
      <c r="I340" t="str" cm="1">
        <f t="array" ref="I340">_xlfn.IFS(H340 &lt; 30000, "Low", H340 &lt; 60000, "Medium", H340 &lt; 100000, "High", H340 &gt;= 100000, "Premium")</f>
        <v>Premium</v>
      </c>
      <c r="J340" t="s">
        <v>19</v>
      </c>
      <c r="K340" s="1">
        <v>43280</v>
      </c>
      <c r="L340">
        <f t="shared" ca="1" si="10"/>
        <v>7</v>
      </c>
      <c r="M340" t="str" cm="1">
        <f t="array" aca="1" ref="M340" ca="1">_xlfn.IFS( L340 &lt;=2, "New", L340&lt;=6, "Engaged", L340 &gt;6, "Loyal")</f>
        <v>Loyal</v>
      </c>
      <c r="N340">
        <f t="shared" si="11"/>
        <v>2018</v>
      </c>
    </row>
    <row r="341" spans="1:14" x14ac:dyDescent="0.25">
      <c r="A341" t="s">
        <v>702</v>
      </c>
      <c r="B341" t="s">
        <v>703</v>
      </c>
      <c r="C341" t="s">
        <v>16</v>
      </c>
      <c r="D341">
        <v>21</v>
      </c>
      <c r="E341" t="str" cm="1">
        <f t="array" ref="E341">_xlfn.IFS(D341 &lt; 26, "Gen Z", D341 &lt;= 41, "Millennials", D341 &lt;= 57, "Gen X", D341 &gt;= 58, "Boomers")</f>
        <v>Gen Z</v>
      </c>
      <c r="F341" t="s">
        <v>11</v>
      </c>
      <c r="G341" t="s">
        <v>22</v>
      </c>
      <c r="H341">
        <v>92715</v>
      </c>
      <c r="I341" t="str" cm="1">
        <f t="array" ref="I341">_xlfn.IFS(H341 &lt; 30000, "Low", H341 &lt; 60000, "Medium", H341 &lt; 100000, "High", H341 &gt;= 100000, "Premium")</f>
        <v>High</v>
      </c>
      <c r="J341" t="s">
        <v>13</v>
      </c>
      <c r="K341" s="1">
        <v>42927</v>
      </c>
      <c r="L341">
        <f t="shared" ca="1" si="10"/>
        <v>8</v>
      </c>
      <c r="M341" t="str" cm="1">
        <f t="array" aca="1" ref="M341" ca="1">_xlfn.IFS( L341 &lt;=2, "New", L341&lt;=6, "Engaged", L341 &gt;6, "Loyal")</f>
        <v>Loyal</v>
      </c>
      <c r="N341">
        <f t="shared" si="11"/>
        <v>2017</v>
      </c>
    </row>
    <row r="342" spans="1:14" x14ac:dyDescent="0.25">
      <c r="A342" t="s">
        <v>704</v>
      </c>
      <c r="B342" t="s">
        <v>705</v>
      </c>
      <c r="C342" t="s">
        <v>10</v>
      </c>
      <c r="D342">
        <v>53</v>
      </c>
      <c r="E342" t="str" cm="1">
        <f t="array" ref="E342">_xlfn.IFS(D342 &lt; 26, "Gen Z", D342 &lt;= 41, "Millennials", D342 &lt;= 57, "Gen X", D342 &gt;= 58, "Boomers")</f>
        <v>Gen X</v>
      </c>
      <c r="F342" t="s">
        <v>11</v>
      </c>
      <c r="G342" t="s">
        <v>22</v>
      </c>
      <c r="H342">
        <v>161398</v>
      </c>
      <c r="I342" t="str" cm="1">
        <f t="array" ref="I342">_xlfn.IFS(H342 &lt; 30000, "Low", H342 &lt; 60000, "Medium", H342 &lt; 100000, "High", H342 &gt;= 100000, "Premium")</f>
        <v>Premium</v>
      </c>
      <c r="J342" t="s">
        <v>13</v>
      </c>
      <c r="K342" s="1">
        <v>43009</v>
      </c>
      <c r="L342">
        <f t="shared" ca="1" si="10"/>
        <v>8</v>
      </c>
      <c r="M342" t="str" cm="1">
        <f t="array" aca="1" ref="M342" ca="1">_xlfn.IFS( L342 &lt;=2, "New", L342&lt;=6, "Engaged", L342 &gt;6, "Loyal")</f>
        <v>Loyal</v>
      </c>
      <c r="N342">
        <f t="shared" si="11"/>
        <v>2017</v>
      </c>
    </row>
    <row r="343" spans="1:14" x14ac:dyDescent="0.25">
      <c r="A343" t="s">
        <v>706</v>
      </c>
      <c r="B343" t="s">
        <v>707</v>
      </c>
      <c r="C343" t="s">
        <v>16</v>
      </c>
      <c r="D343">
        <v>23</v>
      </c>
      <c r="E343" t="str" cm="1">
        <f t="array" ref="E343">_xlfn.IFS(D343 &lt; 26, "Gen Z", D343 &lt;= 41, "Millennials", D343 &lt;= 57, "Gen X", D343 &gt;= 58, "Boomers")</f>
        <v>Gen Z</v>
      </c>
      <c r="F343" t="s">
        <v>11</v>
      </c>
      <c r="G343" t="s">
        <v>26</v>
      </c>
      <c r="H343">
        <v>130091</v>
      </c>
      <c r="I343" t="str" cm="1">
        <f t="array" ref="I343">_xlfn.IFS(H343 &lt; 30000, "Low", H343 &lt; 60000, "Medium", H343 &lt; 100000, "High", H343 &gt;= 100000, "Premium")</f>
        <v>Premium</v>
      </c>
      <c r="J343" t="s">
        <v>19</v>
      </c>
      <c r="K343" s="1">
        <v>45017</v>
      </c>
      <c r="L343">
        <f t="shared" ca="1" si="10"/>
        <v>3</v>
      </c>
      <c r="M343" t="str" cm="1">
        <f t="array" aca="1" ref="M343" ca="1">_xlfn.IFS( L343 &lt;=2, "New", L343&lt;=6, "Engaged", L343 &gt;6, "Loyal")</f>
        <v>Engaged</v>
      </c>
      <c r="N343">
        <f t="shared" si="11"/>
        <v>2023</v>
      </c>
    </row>
    <row r="344" spans="1:14" x14ac:dyDescent="0.25">
      <c r="A344" t="s">
        <v>708</v>
      </c>
      <c r="B344" t="s">
        <v>709</v>
      </c>
      <c r="C344" t="s">
        <v>10</v>
      </c>
      <c r="D344">
        <v>48</v>
      </c>
      <c r="E344" t="str" cm="1">
        <f t="array" ref="E344">_xlfn.IFS(D344 &lt; 26, "Gen Z", D344 &lt;= 41, "Millennials", D344 &lt;= 57, "Gen X", D344 &gt;= 58, "Boomers")</f>
        <v>Gen X</v>
      </c>
      <c r="F344" t="s">
        <v>11</v>
      </c>
      <c r="G344" t="s">
        <v>36</v>
      </c>
      <c r="H344">
        <v>152632</v>
      </c>
      <c r="I344" t="str" cm="1">
        <f t="array" ref="I344">_xlfn.IFS(H344 &lt; 30000, "Low", H344 &lt; 60000, "Medium", H344 &lt; 100000, "High", H344 &gt;= 100000, "Premium")</f>
        <v>Premium</v>
      </c>
      <c r="J344" t="s">
        <v>13</v>
      </c>
      <c r="K344" s="1">
        <v>43154</v>
      </c>
      <c r="L344">
        <f t="shared" ca="1" si="10"/>
        <v>8</v>
      </c>
      <c r="M344" t="str" cm="1">
        <f t="array" aca="1" ref="M344" ca="1">_xlfn.IFS( L344 &lt;=2, "New", L344&lt;=6, "Engaged", L344 &gt;6, "Loyal")</f>
        <v>Loyal</v>
      </c>
      <c r="N344">
        <f t="shared" si="11"/>
        <v>2018</v>
      </c>
    </row>
    <row r="345" spans="1:14" x14ac:dyDescent="0.25">
      <c r="A345" t="s">
        <v>710</v>
      </c>
      <c r="B345" t="s">
        <v>711</v>
      </c>
      <c r="C345" t="s">
        <v>16</v>
      </c>
      <c r="D345">
        <v>36</v>
      </c>
      <c r="E345" t="str" cm="1">
        <f t="array" ref="E345">_xlfn.IFS(D345 &lt; 26, "Gen Z", D345 &lt;= 41, "Millennials", D345 &lt;= 57, "Gen X", D345 &gt;= 58, "Boomers")</f>
        <v>Millennials</v>
      </c>
      <c r="F345" t="s">
        <v>17</v>
      </c>
      <c r="G345" t="s">
        <v>36</v>
      </c>
      <c r="H345">
        <v>99148</v>
      </c>
      <c r="I345" t="str" cm="1">
        <f t="array" ref="I345">_xlfn.IFS(H345 &lt; 30000, "Low", H345 &lt; 60000, "Medium", H345 &lt; 100000, "High", H345 &gt;= 100000, "Premium")</f>
        <v>High</v>
      </c>
      <c r="J345" t="s">
        <v>23</v>
      </c>
      <c r="K345" s="1">
        <v>43052</v>
      </c>
      <c r="L345">
        <f t="shared" ca="1" si="10"/>
        <v>8</v>
      </c>
      <c r="M345" t="str" cm="1">
        <f t="array" aca="1" ref="M345" ca="1">_xlfn.IFS( L345 &lt;=2, "New", L345&lt;=6, "Engaged", L345 &gt;6, "Loyal")</f>
        <v>Loyal</v>
      </c>
      <c r="N345">
        <f t="shared" si="11"/>
        <v>2017</v>
      </c>
    </row>
    <row r="346" spans="1:14" x14ac:dyDescent="0.25">
      <c r="A346" t="s">
        <v>712</v>
      </c>
      <c r="B346" t="s">
        <v>713</v>
      </c>
      <c r="C346" t="s">
        <v>10</v>
      </c>
      <c r="D346">
        <v>61</v>
      </c>
      <c r="E346" t="str" cm="1">
        <f t="array" ref="E346">_xlfn.IFS(D346 &lt; 26, "Gen Z", D346 &lt;= 41, "Millennials", D346 &lt;= 57, "Gen X", D346 &gt;= 58, "Boomers")</f>
        <v>Boomers</v>
      </c>
      <c r="F346" t="s">
        <v>17</v>
      </c>
      <c r="G346" t="s">
        <v>36</v>
      </c>
      <c r="H346">
        <v>103186</v>
      </c>
      <c r="I346" t="str" cm="1">
        <f t="array" ref="I346">_xlfn.IFS(H346 &lt; 30000, "Low", H346 &lt; 60000, "Medium", H346 &lt; 100000, "High", H346 &gt;= 100000, "Premium")</f>
        <v>Premium</v>
      </c>
      <c r="J346" t="s">
        <v>13</v>
      </c>
      <c r="K346" s="1">
        <v>43704</v>
      </c>
      <c r="L346">
        <f t="shared" ca="1" si="10"/>
        <v>6</v>
      </c>
      <c r="M346" t="str" cm="1">
        <f t="array" aca="1" ref="M346" ca="1">_xlfn.IFS( L346 &lt;=2, "New", L346&lt;=6, "Engaged", L346 &gt;6, "Loyal")</f>
        <v>Engaged</v>
      </c>
      <c r="N346">
        <f t="shared" si="11"/>
        <v>2019</v>
      </c>
    </row>
    <row r="347" spans="1:14" x14ac:dyDescent="0.25">
      <c r="A347" t="s">
        <v>714</v>
      </c>
      <c r="B347" t="s">
        <v>715</v>
      </c>
      <c r="C347" t="s">
        <v>10</v>
      </c>
      <c r="D347">
        <v>71</v>
      </c>
      <c r="E347" t="str" cm="1">
        <f t="array" ref="E347">_xlfn.IFS(D347 &lt; 26, "Gen Z", D347 &lt;= 41, "Millennials", D347 &lt;= 57, "Gen X", D347 &gt;= 58, "Boomers")</f>
        <v>Boomers</v>
      </c>
      <c r="F347" t="s">
        <v>29</v>
      </c>
      <c r="G347" t="s">
        <v>36</v>
      </c>
      <c r="H347">
        <v>177817</v>
      </c>
      <c r="I347" t="str" cm="1">
        <f t="array" ref="I347">_xlfn.IFS(H347 &lt; 30000, "Low", H347 &lt; 60000, "Medium", H347 &lt; 100000, "High", H347 &gt;= 100000, "Premium")</f>
        <v>Premium</v>
      </c>
      <c r="J347" t="s">
        <v>19</v>
      </c>
      <c r="K347" s="1">
        <v>44709</v>
      </c>
      <c r="L347">
        <f t="shared" ca="1" si="10"/>
        <v>3</v>
      </c>
      <c r="M347" t="str" cm="1">
        <f t="array" aca="1" ref="M347" ca="1">_xlfn.IFS( L347 &lt;=2, "New", L347&lt;=6, "Engaged", L347 &gt;6, "Loyal")</f>
        <v>Engaged</v>
      </c>
      <c r="N347">
        <f t="shared" si="11"/>
        <v>2022</v>
      </c>
    </row>
    <row r="348" spans="1:14" x14ac:dyDescent="0.25">
      <c r="A348" t="s">
        <v>716</v>
      </c>
      <c r="B348" t="s">
        <v>717</v>
      </c>
      <c r="C348" t="s">
        <v>10</v>
      </c>
      <c r="D348">
        <v>56</v>
      </c>
      <c r="E348" t="str" cm="1">
        <f t="array" ref="E348">_xlfn.IFS(D348 &lt; 26, "Gen Z", D348 &lt;= 41, "Millennials", D348 &lt;= 57, "Gen X", D348 &gt;= 58, "Boomers")</f>
        <v>Gen X</v>
      </c>
      <c r="F348" t="s">
        <v>33</v>
      </c>
      <c r="G348" t="s">
        <v>36</v>
      </c>
      <c r="H348">
        <v>182962</v>
      </c>
      <c r="I348" t="str" cm="1">
        <f t="array" ref="I348">_xlfn.IFS(H348 &lt; 30000, "Low", H348 &lt; 60000, "Medium", H348 &lt; 100000, "High", H348 &gt;= 100000, "Premium")</f>
        <v>Premium</v>
      </c>
      <c r="J348" t="s">
        <v>19</v>
      </c>
      <c r="K348" s="1">
        <v>45560</v>
      </c>
      <c r="L348">
        <f t="shared" ca="1" si="10"/>
        <v>1</v>
      </c>
      <c r="M348" t="str" cm="1">
        <f t="array" aca="1" ref="M348" ca="1">_xlfn.IFS( L348 &lt;=2, "New", L348&lt;=6, "Engaged", L348 &gt;6, "Loyal")</f>
        <v>New</v>
      </c>
      <c r="N348">
        <f t="shared" si="11"/>
        <v>2024</v>
      </c>
    </row>
    <row r="349" spans="1:14" x14ac:dyDescent="0.25">
      <c r="A349" t="s">
        <v>718</v>
      </c>
      <c r="B349" t="s">
        <v>719</v>
      </c>
      <c r="C349" t="s">
        <v>16</v>
      </c>
      <c r="D349">
        <v>44</v>
      </c>
      <c r="E349" t="str" cm="1">
        <f t="array" ref="E349">_xlfn.IFS(D349 &lt; 26, "Gen Z", D349 &lt;= 41, "Millennials", D349 &lt;= 57, "Gen X", D349 &gt;= 58, "Boomers")</f>
        <v>Gen X</v>
      </c>
      <c r="F349" t="s">
        <v>17</v>
      </c>
      <c r="G349" t="s">
        <v>26</v>
      </c>
      <c r="H349">
        <v>171094</v>
      </c>
      <c r="I349" t="str" cm="1">
        <f t="array" ref="I349">_xlfn.IFS(H349 &lt; 30000, "Low", H349 &lt; 60000, "Medium", H349 &lt; 100000, "High", H349 &gt;= 100000, "Premium")</f>
        <v>Premium</v>
      </c>
      <c r="J349" t="s">
        <v>19</v>
      </c>
      <c r="K349" s="1">
        <v>43485</v>
      </c>
      <c r="L349">
        <f t="shared" ca="1" si="10"/>
        <v>7</v>
      </c>
      <c r="M349" t="str" cm="1">
        <f t="array" aca="1" ref="M349" ca="1">_xlfn.IFS( L349 &lt;=2, "New", L349&lt;=6, "Engaged", L349 &gt;6, "Loyal")</f>
        <v>Loyal</v>
      </c>
      <c r="N349">
        <f t="shared" si="11"/>
        <v>2019</v>
      </c>
    </row>
    <row r="350" spans="1:14" x14ac:dyDescent="0.25">
      <c r="A350" t="s">
        <v>720</v>
      </c>
      <c r="B350" t="s">
        <v>721</v>
      </c>
      <c r="C350" t="s">
        <v>16</v>
      </c>
      <c r="D350">
        <v>27</v>
      </c>
      <c r="E350" t="str" cm="1">
        <f t="array" ref="E350">_xlfn.IFS(D350 &lt; 26, "Gen Z", D350 &lt;= 41, "Millennials", D350 &lt;= 57, "Gen X", D350 &gt;= 58, "Boomers")</f>
        <v>Millennials</v>
      </c>
      <c r="F350" t="s">
        <v>17</v>
      </c>
      <c r="G350" t="s">
        <v>12</v>
      </c>
      <c r="H350">
        <v>143629</v>
      </c>
      <c r="I350" t="str" cm="1">
        <f t="array" ref="I350">_xlfn.IFS(H350 &lt; 30000, "Low", H350 &lt; 60000, "Medium", H350 &lt; 100000, "High", H350 &gt;= 100000, "Premium")</f>
        <v>Premium</v>
      </c>
      <c r="J350" t="s">
        <v>19</v>
      </c>
      <c r="K350" s="1">
        <v>45888</v>
      </c>
      <c r="L350">
        <f t="shared" ca="1" si="10"/>
        <v>0</v>
      </c>
      <c r="M350" t="str" cm="1">
        <f t="array" aca="1" ref="M350" ca="1">_xlfn.IFS( L350 &lt;=2, "New", L350&lt;=6, "Engaged", L350 &gt;6, "Loyal")</f>
        <v>New</v>
      </c>
      <c r="N350">
        <f t="shared" si="11"/>
        <v>2025</v>
      </c>
    </row>
    <row r="351" spans="1:14" x14ac:dyDescent="0.25">
      <c r="A351" t="s">
        <v>722</v>
      </c>
      <c r="B351" t="s">
        <v>723</v>
      </c>
      <c r="C351" t="s">
        <v>10</v>
      </c>
      <c r="D351">
        <v>43</v>
      </c>
      <c r="E351" t="str" cm="1">
        <f t="array" ref="E351">_xlfn.IFS(D351 &lt; 26, "Gen Z", D351 &lt;= 41, "Millennials", D351 &lt;= 57, "Gen X", D351 &gt;= 58, "Boomers")</f>
        <v>Gen X</v>
      </c>
      <c r="F351" t="s">
        <v>33</v>
      </c>
      <c r="G351" t="s">
        <v>22</v>
      </c>
      <c r="H351">
        <v>90316</v>
      </c>
      <c r="I351" t="str" cm="1">
        <f t="array" ref="I351">_xlfn.IFS(H351 &lt; 30000, "Low", H351 &lt; 60000, "Medium", H351 &lt; 100000, "High", H351 &gt;= 100000, "Premium")</f>
        <v>High</v>
      </c>
      <c r="J351" t="s">
        <v>19</v>
      </c>
      <c r="K351" s="1">
        <v>44926</v>
      </c>
      <c r="L351">
        <f t="shared" ca="1" si="10"/>
        <v>3</v>
      </c>
      <c r="M351" t="str" cm="1">
        <f t="array" aca="1" ref="M351" ca="1">_xlfn.IFS( L351 &lt;=2, "New", L351&lt;=6, "Engaged", L351 &gt;6, "Loyal")</f>
        <v>Engaged</v>
      </c>
      <c r="N351">
        <f t="shared" si="11"/>
        <v>2022</v>
      </c>
    </row>
    <row r="352" spans="1:14" x14ac:dyDescent="0.25">
      <c r="A352" t="s">
        <v>724</v>
      </c>
      <c r="B352" t="s">
        <v>725</v>
      </c>
      <c r="C352" t="s">
        <v>16</v>
      </c>
      <c r="D352">
        <v>36</v>
      </c>
      <c r="E352" t="str" cm="1">
        <f t="array" ref="E352">_xlfn.IFS(D352 &lt; 26, "Gen Z", D352 &lt;= 41, "Millennials", D352 &lt;= 57, "Gen X", D352 &gt;= 58, "Boomers")</f>
        <v>Millennials</v>
      </c>
      <c r="F352" t="s">
        <v>17</v>
      </c>
      <c r="G352" t="s">
        <v>36</v>
      </c>
      <c r="H352">
        <v>48380</v>
      </c>
      <c r="I352" t="str" cm="1">
        <f t="array" ref="I352">_xlfn.IFS(H352 &lt; 30000, "Low", H352 &lt; 60000, "Medium", H352 &lt; 100000, "High", H352 &gt;= 100000, "Premium")</f>
        <v>Medium</v>
      </c>
      <c r="J352" t="s">
        <v>13</v>
      </c>
      <c r="K352" s="1">
        <v>44241</v>
      </c>
      <c r="L352">
        <f t="shared" ca="1" si="10"/>
        <v>5</v>
      </c>
      <c r="M352" t="str" cm="1">
        <f t="array" aca="1" ref="M352" ca="1">_xlfn.IFS( L352 &lt;=2, "New", L352&lt;=6, "Engaged", L352 &gt;6, "Loyal")</f>
        <v>Engaged</v>
      </c>
      <c r="N352">
        <f t="shared" si="11"/>
        <v>2021</v>
      </c>
    </row>
    <row r="353" spans="1:14" x14ac:dyDescent="0.25">
      <c r="A353" t="s">
        <v>726</v>
      </c>
      <c r="B353" t="s">
        <v>727</v>
      </c>
      <c r="C353" t="s">
        <v>10</v>
      </c>
      <c r="D353">
        <v>56</v>
      </c>
      <c r="E353" t="str" cm="1">
        <f t="array" ref="E353">_xlfn.IFS(D353 &lt; 26, "Gen Z", D353 &lt;= 41, "Millennials", D353 &lt;= 57, "Gen X", D353 &gt;= 58, "Boomers")</f>
        <v>Gen X</v>
      </c>
      <c r="F353" t="s">
        <v>11</v>
      </c>
      <c r="G353" t="s">
        <v>41</v>
      </c>
      <c r="H353">
        <v>130198</v>
      </c>
      <c r="I353" t="str" cm="1">
        <f t="array" ref="I353">_xlfn.IFS(H353 &lt; 30000, "Low", H353 &lt; 60000, "Medium", H353 &lt; 100000, "High", H353 &gt;= 100000, "Premium")</f>
        <v>Premium</v>
      </c>
      <c r="J353" t="s">
        <v>13</v>
      </c>
      <c r="K353" s="1">
        <v>43973</v>
      </c>
      <c r="L353">
        <f t="shared" ca="1" si="10"/>
        <v>5</v>
      </c>
      <c r="M353" t="str" cm="1">
        <f t="array" aca="1" ref="M353" ca="1">_xlfn.IFS( L353 &lt;=2, "New", L353&lt;=6, "Engaged", L353 &gt;6, "Loyal")</f>
        <v>Engaged</v>
      </c>
      <c r="N353">
        <f t="shared" si="11"/>
        <v>2020</v>
      </c>
    </row>
    <row r="354" spans="1:14" x14ac:dyDescent="0.25">
      <c r="A354" t="s">
        <v>728</v>
      </c>
      <c r="B354" t="s">
        <v>729</v>
      </c>
      <c r="C354" t="s">
        <v>10</v>
      </c>
      <c r="D354">
        <v>20</v>
      </c>
      <c r="E354" t="str" cm="1">
        <f t="array" ref="E354">_xlfn.IFS(D354 &lt; 26, "Gen Z", D354 &lt;= 41, "Millennials", D354 &lt;= 57, "Gen X", D354 &gt;= 58, "Boomers")</f>
        <v>Gen Z</v>
      </c>
      <c r="F354" t="s">
        <v>11</v>
      </c>
      <c r="G354" t="s">
        <v>12</v>
      </c>
      <c r="H354">
        <v>22356</v>
      </c>
      <c r="I354" t="str" cm="1">
        <f t="array" ref="I354">_xlfn.IFS(H354 &lt; 30000, "Low", H354 &lt; 60000, "Medium", H354 &lt; 100000, "High", H354 &gt;= 100000, "Premium")</f>
        <v>Low</v>
      </c>
      <c r="J354" t="s">
        <v>13</v>
      </c>
      <c r="K354" s="1">
        <v>43727</v>
      </c>
      <c r="L354">
        <f t="shared" ca="1" si="10"/>
        <v>6</v>
      </c>
      <c r="M354" t="str" cm="1">
        <f t="array" aca="1" ref="M354" ca="1">_xlfn.IFS( L354 &lt;=2, "New", L354&lt;=6, "Engaged", L354 &gt;6, "Loyal")</f>
        <v>Engaged</v>
      </c>
      <c r="N354">
        <f t="shared" si="11"/>
        <v>2019</v>
      </c>
    </row>
    <row r="355" spans="1:14" x14ac:dyDescent="0.25">
      <c r="A355" t="s">
        <v>730</v>
      </c>
      <c r="B355" t="s">
        <v>731</v>
      </c>
      <c r="C355" t="s">
        <v>16</v>
      </c>
      <c r="D355">
        <v>62</v>
      </c>
      <c r="E355" t="str" cm="1">
        <f t="array" ref="E355">_xlfn.IFS(D355 &lt; 26, "Gen Z", D355 &lt;= 41, "Millennials", D355 &lt;= 57, "Gen X", D355 &gt;= 58, "Boomers")</f>
        <v>Boomers</v>
      </c>
      <c r="F355" t="s">
        <v>33</v>
      </c>
      <c r="G355" t="s">
        <v>12</v>
      </c>
      <c r="H355">
        <v>90326</v>
      </c>
      <c r="I355" t="str" cm="1">
        <f t="array" ref="I355">_xlfn.IFS(H355 &lt; 30000, "Low", H355 &lt; 60000, "Medium", H355 &lt; 100000, "High", H355 &gt;= 100000, "Premium")</f>
        <v>High</v>
      </c>
      <c r="J355" t="s">
        <v>19</v>
      </c>
      <c r="K355" s="1">
        <v>43758</v>
      </c>
      <c r="L355">
        <f t="shared" ca="1" si="10"/>
        <v>6</v>
      </c>
      <c r="M355" t="str" cm="1">
        <f t="array" aca="1" ref="M355" ca="1">_xlfn.IFS( L355 &lt;=2, "New", L355&lt;=6, "Engaged", L355 &gt;6, "Loyal")</f>
        <v>Engaged</v>
      </c>
      <c r="N355">
        <f t="shared" si="11"/>
        <v>2019</v>
      </c>
    </row>
    <row r="356" spans="1:14" x14ac:dyDescent="0.25">
      <c r="A356" t="s">
        <v>732</v>
      </c>
      <c r="B356" t="s">
        <v>733</v>
      </c>
      <c r="C356" t="s">
        <v>16</v>
      </c>
      <c r="D356">
        <v>30</v>
      </c>
      <c r="E356" t="str" cm="1">
        <f t="array" ref="E356">_xlfn.IFS(D356 &lt; 26, "Gen Z", D356 &lt;= 41, "Millennials", D356 &lt;= 57, "Gen X", D356 &gt;= 58, "Boomers")</f>
        <v>Millennials</v>
      </c>
      <c r="F356" t="s">
        <v>29</v>
      </c>
      <c r="G356" t="s">
        <v>22</v>
      </c>
      <c r="H356">
        <v>112447</v>
      </c>
      <c r="I356" t="str" cm="1">
        <f t="array" ref="I356">_xlfn.IFS(H356 &lt; 30000, "Low", H356 &lt; 60000, "Medium", H356 &lt; 100000, "High", H356 &gt;= 100000, "Premium")</f>
        <v>Premium</v>
      </c>
      <c r="J356" t="s">
        <v>13</v>
      </c>
      <c r="K356" s="1">
        <v>43847</v>
      </c>
      <c r="L356">
        <f t="shared" ca="1" si="10"/>
        <v>6</v>
      </c>
      <c r="M356" t="str" cm="1">
        <f t="array" aca="1" ref="M356" ca="1">_xlfn.IFS( L356 &lt;=2, "New", L356&lt;=6, "Engaged", L356 &gt;6, "Loyal")</f>
        <v>Engaged</v>
      </c>
      <c r="N356">
        <f t="shared" si="11"/>
        <v>2020</v>
      </c>
    </row>
    <row r="357" spans="1:14" x14ac:dyDescent="0.25">
      <c r="A357" t="s">
        <v>734</v>
      </c>
      <c r="B357" t="s">
        <v>735</v>
      </c>
      <c r="C357" t="s">
        <v>10</v>
      </c>
      <c r="D357">
        <v>67</v>
      </c>
      <c r="E357" t="str" cm="1">
        <f t="array" ref="E357">_xlfn.IFS(D357 &lt; 26, "Gen Z", D357 &lt;= 41, "Millennials", D357 &lt;= 57, "Gen X", D357 &gt;= 58, "Boomers")</f>
        <v>Boomers</v>
      </c>
      <c r="F357" t="s">
        <v>29</v>
      </c>
      <c r="G357" t="s">
        <v>26</v>
      </c>
      <c r="H357">
        <v>134994</v>
      </c>
      <c r="I357" t="str" cm="1">
        <f t="array" ref="I357">_xlfn.IFS(H357 &lt; 30000, "Low", H357 &lt; 60000, "Medium", H357 &lt; 100000, "High", H357 &gt;= 100000, "Premium")</f>
        <v>Premium</v>
      </c>
      <c r="J357" t="s">
        <v>19</v>
      </c>
      <c r="K357" s="1">
        <v>43374</v>
      </c>
      <c r="L357">
        <f t="shared" ca="1" si="10"/>
        <v>7</v>
      </c>
      <c r="M357" t="str" cm="1">
        <f t="array" aca="1" ref="M357" ca="1">_xlfn.IFS( L357 &lt;=2, "New", L357&lt;=6, "Engaged", L357 &gt;6, "Loyal")</f>
        <v>Loyal</v>
      </c>
      <c r="N357">
        <f t="shared" si="11"/>
        <v>2018</v>
      </c>
    </row>
    <row r="358" spans="1:14" x14ac:dyDescent="0.25">
      <c r="A358" t="s">
        <v>736</v>
      </c>
      <c r="B358" t="s">
        <v>737</v>
      </c>
      <c r="C358" t="s">
        <v>16</v>
      </c>
      <c r="D358">
        <v>45</v>
      </c>
      <c r="E358" t="str" cm="1">
        <f t="array" ref="E358">_xlfn.IFS(D358 &lt; 26, "Gen Z", D358 &lt;= 41, "Millennials", D358 &lt;= 57, "Gen X", D358 &gt;= 58, "Boomers")</f>
        <v>Gen X</v>
      </c>
      <c r="F358" t="s">
        <v>33</v>
      </c>
      <c r="G358" t="s">
        <v>18</v>
      </c>
      <c r="H358">
        <v>40049</v>
      </c>
      <c r="I358" t="str" cm="1">
        <f t="array" ref="I358">_xlfn.IFS(H358 &lt; 30000, "Low", H358 &lt; 60000, "Medium", H358 &lt; 100000, "High", H358 &gt;= 100000, "Premium")</f>
        <v>Medium</v>
      </c>
      <c r="J358" t="s">
        <v>13</v>
      </c>
      <c r="K358" s="1">
        <v>44190</v>
      </c>
      <c r="L358">
        <f t="shared" ca="1" si="10"/>
        <v>5</v>
      </c>
      <c r="M358" t="str" cm="1">
        <f t="array" aca="1" ref="M358" ca="1">_xlfn.IFS( L358 &lt;=2, "New", L358&lt;=6, "Engaged", L358 &gt;6, "Loyal")</f>
        <v>Engaged</v>
      </c>
      <c r="N358">
        <f t="shared" si="11"/>
        <v>2020</v>
      </c>
    </row>
    <row r="359" spans="1:14" x14ac:dyDescent="0.25">
      <c r="A359" t="s">
        <v>738</v>
      </c>
      <c r="B359" t="s">
        <v>739</v>
      </c>
      <c r="C359" t="s">
        <v>16</v>
      </c>
      <c r="D359">
        <v>37</v>
      </c>
      <c r="E359" t="str" cm="1">
        <f t="array" ref="E359">_xlfn.IFS(D359 &lt; 26, "Gen Z", D359 &lt;= 41, "Millennials", D359 &lt;= 57, "Gen X", D359 &gt;= 58, "Boomers")</f>
        <v>Millennials</v>
      </c>
      <c r="F359" t="s">
        <v>33</v>
      </c>
      <c r="G359" t="s">
        <v>18</v>
      </c>
      <c r="H359">
        <v>125361</v>
      </c>
      <c r="I359" t="str" cm="1">
        <f t="array" ref="I359">_xlfn.IFS(H359 &lt; 30000, "Low", H359 &lt; 60000, "Medium", H359 &lt; 100000, "High", H359 &gt;= 100000, "Premium")</f>
        <v>Premium</v>
      </c>
      <c r="J359" t="s">
        <v>13</v>
      </c>
      <c r="K359" s="1">
        <v>44342</v>
      </c>
      <c r="L359">
        <f t="shared" ca="1" si="10"/>
        <v>4</v>
      </c>
      <c r="M359" t="str" cm="1">
        <f t="array" aca="1" ref="M359" ca="1">_xlfn.IFS( L359 &lt;=2, "New", L359&lt;=6, "Engaged", L359 &gt;6, "Loyal")</f>
        <v>Engaged</v>
      </c>
      <c r="N359">
        <f t="shared" si="11"/>
        <v>2021</v>
      </c>
    </row>
    <row r="360" spans="1:14" x14ac:dyDescent="0.25">
      <c r="A360" t="s">
        <v>740</v>
      </c>
      <c r="B360" t="s">
        <v>741</v>
      </c>
      <c r="C360" t="s">
        <v>10</v>
      </c>
      <c r="D360">
        <v>45</v>
      </c>
      <c r="E360" t="str" cm="1">
        <f t="array" ref="E360">_xlfn.IFS(D360 &lt; 26, "Gen Z", D360 &lt;= 41, "Millennials", D360 &lt;= 57, "Gen X", D360 &gt;= 58, "Boomers")</f>
        <v>Gen X</v>
      </c>
      <c r="F360" t="s">
        <v>11</v>
      </c>
      <c r="G360" t="s">
        <v>12</v>
      </c>
      <c r="H360">
        <v>36082</v>
      </c>
      <c r="I360" t="str" cm="1">
        <f t="array" ref="I360">_xlfn.IFS(H360 &lt; 30000, "Low", H360 &lt; 60000, "Medium", H360 &lt; 100000, "High", H360 &gt;= 100000, "Premium")</f>
        <v>Medium</v>
      </c>
      <c r="J360" t="s">
        <v>19</v>
      </c>
      <c r="K360" s="1">
        <v>44954</v>
      </c>
      <c r="L360">
        <f t="shared" ca="1" si="10"/>
        <v>3</v>
      </c>
      <c r="M360" t="str" cm="1">
        <f t="array" aca="1" ref="M360" ca="1">_xlfn.IFS( L360 &lt;=2, "New", L360&lt;=6, "Engaged", L360 &gt;6, "Loyal")</f>
        <v>Engaged</v>
      </c>
      <c r="N360">
        <f t="shared" si="11"/>
        <v>2023</v>
      </c>
    </row>
    <row r="361" spans="1:14" x14ac:dyDescent="0.25">
      <c r="A361" t="s">
        <v>742</v>
      </c>
      <c r="B361" t="s">
        <v>743</v>
      </c>
      <c r="C361" t="s">
        <v>10</v>
      </c>
      <c r="D361">
        <v>25</v>
      </c>
      <c r="E361" t="str" cm="1">
        <f t="array" ref="E361">_xlfn.IFS(D361 &lt; 26, "Gen Z", D361 &lt;= 41, "Millennials", D361 &lt;= 57, "Gen X", D361 &gt;= 58, "Boomers")</f>
        <v>Gen Z</v>
      </c>
      <c r="F361" t="s">
        <v>29</v>
      </c>
      <c r="G361" t="s">
        <v>30</v>
      </c>
      <c r="H361">
        <v>20661</v>
      </c>
      <c r="I361" t="str" cm="1">
        <f t="array" ref="I361">_xlfn.IFS(H361 &lt; 30000, "Low", H361 &lt; 60000, "Medium", H361 &lt; 100000, "High", H361 &gt;= 100000, "Premium")</f>
        <v>Low</v>
      </c>
      <c r="J361" t="s">
        <v>13</v>
      </c>
      <c r="K361" s="1">
        <v>44819</v>
      </c>
      <c r="L361">
        <f t="shared" ca="1" si="10"/>
        <v>3</v>
      </c>
      <c r="M361" t="str" cm="1">
        <f t="array" aca="1" ref="M361" ca="1">_xlfn.IFS( L361 &lt;=2, "New", L361&lt;=6, "Engaged", L361 &gt;6, "Loyal")</f>
        <v>Engaged</v>
      </c>
      <c r="N361">
        <f t="shared" si="11"/>
        <v>2022</v>
      </c>
    </row>
    <row r="362" spans="1:14" x14ac:dyDescent="0.25">
      <c r="A362" t="s">
        <v>744</v>
      </c>
      <c r="B362" t="s">
        <v>745</v>
      </c>
      <c r="C362" t="s">
        <v>16</v>
      </c>
      <c r="D362">
        <v>58</v>
      </c>
      <c r="E362" t="str" cm="1">
        <f t="array" ref="E362">_xlfn.IFS(D362 &lt; 26, "Gen Z", D362 &lt;= 41, "Millennials", D362 &lt;= 57, "Gen X", D362 &gt;= 58, "Boomers")</f>
        <v>Boomers</v>
      </c>
      <c r="F362" t="s">
        <v>17</v>
      </c>
      <c r="G362" t="s">
        <v>30</v>
      </c>
      <c r="H362">
        <v>188484</v>
      </c>
      <c r="I362" t="str" cm="1">
        <f t="array" ref="I362">_xlfn.IFS(H362 &lt; 30000, "Low", H362 &lt; 60000, "Medium", H362 &lt; 100000, "High", H362 &gt;= 100000, "Premium")</f>
        <v>Premium</v>
      </c>
      <c r="J362" t="s">
        <v>13</v>
      </c>
      <c r="K362" s="1">
        <v>45392</v>
      </c>
      <c r="L362">
        <f t="shared" ca="1" si="10"/>
        <v>2</v>
      </c>
      <c r="M362" t="str" cm="1">
        <f t="array" aca="1" ref="M362" ca="1">_xlfn.IFS( L362 &lt;=2, "New", L362&lt;=6, "Engaged", L362 &gt;6, "Loyal")</f>
        <v>New</v>
      </c>
      <c r="N362">
        <f t="shared" si="11"/>
        <v>2024</v>
      </c>
    </row>
    <row r="363" spans="1:14" x14ac:dyDescent="0.25">
      <c r="A363" t="s">
        <v>746</v>
      </c>
      <c r="B363" t="s">
        <v>747</v>
      </c>
      <c r="C363" t="s">
        <v>10</v>
      </c>
      <c r="D363">
        <v>56</v>
      </c>
      <c r="E363" t="str" cm="1">
        <f t="array" ref="E363">_xlfn.IFS(D363 &lt; 26, "Gen Z", D363 &lt;= 41, "Millennials", D363 &lt;= 57, "Gen X", D363 &gt;= 58, "Boomers")</f>
        <v>Gen X</v>
      </c>
      <c r="F363" t="s">
        <v>11</v>
      </c>
      <c r="G363" t="s">
        <v>22</v>
      </c>
      <c r="H363">
        <v>22920</v>
      </c>
      <c r="I363" t="str" cm="1">
        <f t="array" ref="I363">_xlfn.IFS(H363 &lt; 30000, "Low", H363 &lt; 60000, "Medium", H363 &lt; 100000, "High", H363 &gt;= 100000, "Premium")</f>
        <v>Low</v>
      </c>
      <c r="J363" t="s">
        <v>13</v>
      </c>
      <c r="K363" s="1">
        <v>42295</v>
      </c>
      <c r="L363">
        <f t="shared" ca="1" si="10"/>
        <v>10</v>
      </c>
      <c r="M363" t="str" cm="1">
        <f t="array" aca="1" ref="M363" ca="1">_xlfn.IFS( L363 &lt;=2, "New", L363&lt;=6, "Engaged", L363 &gt;6, "Loyal")</f>
        <v>Loyal</v>
      </c>
      <c r="N363">
        <f t="shared" si="11"/>
        <v>2015</v>
      </c>
    </row>
    <row r="364" spans="1:14" x14ac:dyDescent="0.25">
      <c r="A364" t="s">
        <v>748</v>
      </c>
      <c r="B364" t="s">
        <v>749</v>
      </c>
      <c r="C364" t="s">
        <v>10</v>
      </c>
      <c r="D364">
        <v>18</v>
      </c>
      <c r="E364" t="str" cm="1">
        <f t="array" ref="E364">_xlfn.IFS(D364 &lt; 26, "Gen Z", D364 &lt;= 41, "Millennials", D364 &lt;= 57, "Gen X", D364 &gt;= 58, "Boomers")</f>
        <v>Gen Z</v>
      </c>
      <c r="F364" t="s">
        <v>33</v>
      </c>
      <c r="G364" t="s">
        <v>18</v>
      </c>
      <c r="H364">
        <v>99561</v>
      </c>
      <c r="I364" t="str" cm="1">
        <f t="array" ref="I364">_xlfn.IFS(H364 &lt; 30000, "Low", H364 &lt; 60000, "Medium", H364 &lt; 100000, "High", H364 &gt;= 100000, "Premium")</f>
        <v>High</v>
      </c>
      <c r="J364" t="s">
        <v>23</v>
      </c>
      <c r="K364" s="1">
        <v>42581</v>
      </c>
      <c r="L364">
        <f t="shared" ca="1" si="10"/>
        <v>9</v>
      </c>
      <c r="M364" t="str" cm="1">
        <f t="array" aca="1" ref="M364" ca="1">_xlfn.IFS( L364 &lt;=2, "New", L364&lt;=6, "Engaged", L364 &gt;6, "Loyal")</f>
        <v>Loyal</v>
      </c>
      <c r="N364">
        <f t="shared" si="11"/>
        <v>2016</v>
      </c>
    </row>
    <row r="365" spans="1:14" x14ac:dyDescent="0.25">
      <c r="A365" t="s">
        <v>750</v>
      </c>
      <c r="B365" t="s">
        <v>751</v>
      </c>
      <c r="C365" t="s">
        <v>16</v>
      </c>
      <c r="D365">
        <v>20</v>
      </c>
      <c r="E365" t="str" cm="1">
        <f t="array" ref="E365">_xlfn.IFS(D365 &lt; 26, "Gen Z", D365 &lt;= 41, "Millennials", D365 &lt;= 57, "Gen X", D365 &gt;= 58, "Boomers")</f>
        <v>Gen Z</v>
      </c>
      <c r="F365" t="s">
        <v>29</v>
      </c>
      <c r="G365" t="s">
        <v>12</v>
      </c>
      <c r="H365">
        <v>28946</v>
      </c>
      <c r="I365" t="str" cm="1">
        <f t="array" ref="I365">_xlfn.IFS(H365 &lt; 30000, "Low", H365 &lt; 60000, "Medium", H365 &lt; 100000, "High", H365 &gt;= 100000, "Premium")</f>
        <v>Low</v>
      </c>
      <c r="J365" t="s">
        <v>19</v>
      </c>
      <c r="K365" s="1">
        <v>42442</v>
      </c>
      <c r="L365">
        <f t="shared" ca="1" si="10"/>
        <v>10</v>
      </c>
      <c r="M365" t="str" cm="1">
        <f t="array" aca="1" ref="M365" ca="1">_xlfn.IFS( L365 &lt;=2, "New", L365&lt;=6, "Engaged", L365 &gt;6, "Loyal")</f>
        <v>Loyal</v>
      </c>
      <c r="N365">
        <f t="shared" si="11"/>
        <v>2016</v>
      </c>
    </row>
    <row r="366" spans="1:14" x14ac:dyDescent="0.25">
      <c r="A366" t="s">
        <v>752</v>
      </c>
      <c r="B366" t="s">
        <v>753</v>
      </c>
      <c r="C366" t="s">
        <v>10</v>
      </c>
      <c r="D366">
        <v>30</v>
      </c>
      <c r="E366" t="str" cm="1">
        <f t="array" ref="E366">_xlfn.IFS(D366 &lt; 26, "Gen Z", D366 &lt;= 41, "Millennials", D366 &lt;= 57, "Gen X", D366 &gt;= 58, "Boomers")</f>
        <v>Millennials</v>
      </c>
      <c r="F366" t="s">
        <v>17</v>
      </c>
      <c r="G366" t="s">
        <v>26</v>
      </c>
      <c r="H366">
        <v>196572</v>
      </c>
      <c r="I366" t="str" cm="1">
        <f t="array" ref="I366">_xlfn.IFS(H366 &lt; 30000, "Low", H366 &lt; 60000, "Medium", H366 &lt; 100000, "High", H366 &gt;= 100000, "Premium")</f>
        <v>Premium</v>
      </c>
      <c r="J366" t="s">
        <v>13</v>
      </c>
      <c r="K366" s="1">
        <v>45607</v>
      </c>
      <c r="L366">
        <f t="shared" ca="1" si="10"/>
        <v>1</v>
      </c>
      <c r="M366" t="str" cm="1">
        <f t="array" aca="1" ref="M366" ca="1">_xlfn.IFS( L366 &lt;=2, "New", L366&lt;=6, "Engaged", L366 &gt;6, "Loyal")</f>
        <v>New</v>
      </c>
      <c r="N366">
        <f t="shared" si="11"/>
        <v>2024</v>
      </c>
    </row>
    <row r="367" spans="1:14" x14ac:dyDescent="0.25">
      <c r="A367" t="s">
        <v>754</v>
      </c>
      <c r="B367" t="s">
        <v>755</v>
      </c>
      <c r="C367" t="s">
        <v>10</v>
      </c>
      <c r="D367">
        <v>45</v>
      </c>
      <c r="E367" t="str" cm="1">
        <f t="array" ref="E367">_xlfn.IFS(D367 &lt; 26, "Gen Z", D367 &lt;= 41, "Millennials", D367 &lt;= 57, "Gen X", D367 &gt;= 58, "Boomers")</f>
        <v>Gen X</v>
      </c>
      <c r="F367" t="s">
        <v>17</v>
      </c>
      <c r="G367" t="s">
        <v>18</v>
      </c>
      <c r="H367">
        <v>36309</v>
      </c>
      <c r="I367" t="str" cm="1">
        <f t="array" ref="I367">_xlfn.IFS(H367 &lt; 30000, "Low", H367 &lt; 60000, "Medium", H367 &lt; 100000, "High", H367 &gt;= 100000, "Premium")</f>
        <v>Medium</v>
      </c>
      <c r="J367" t="s">
        <v>13</v>
      </c>
      <c r="K367" s="1">
        <v>43773</v>
      </c>
      <c r="L367">
        <f t="shared" ca="1" si="10"/>
        <v>6</v>
      </c>
      <c r="M367" t="str" cm="1">
        <f t="array" aca="1" ref="M367" ca="1">_xlfn.IFS( L367 &lt;=2, "New", L367&lt;=6, "Engaged", L367 &gt;6, "Loyal")</f>
        <v>Engaged</v>
      </c>
      <c r="N367">
        <f t="shared" si="11"/>
        <v>2019</v>
      </c>
    </row>
    <row r="368" spans="1:14" x14ac:dyDescent="0.25">
      <c r="A368" t="s">
        <v>756</v>
      </c>
      <c r="B368" t="s">
        <v>757</v>
      </c>
      <c r="C368" t="s">
        <v>16</v>
      </c>
      <c r="D368">
        <v>74</v>
      </c>
      <c r="E368" t="str" cm="1">
        <f t="array" ref="E368">_xlfn.IFS(D368 &lt; 26, "Gen Z", D368 &lt;= 41, "Millennials", D368 &lt;= 57, "Gen X", D368 &gt;= 58, "Boomers")</f>
        <v>Boomers</v>
      </c>
      <c r="F368" t="s">
        <v>11</v>
      </c>
      <c r="G368" t="s">
        <v>12</v>
      </c>
      <c r="H368">
        <v>75230</v>
      </c>
      <c r="I368" t="str" cm="1">
        <f t="array" ref="I368">_xlfn.IFS(H368 &lt; 30000, "Low", H368 &lt; 60000, "Medium", H368 &lt; 100000, "High", H368 &gt;= 100000, "Premium")</f>
        <v>High</v>
      </c>
      <c r="J368" t="s">
        <v>13</v>
      </c>
      <c r="K368" s="1">
        <v>43795</v>
      </c>
      <c r="L368">
        <f t="shared" ca="1" si="10"/>
        <v>6</v>
      </c>
      <c r="M368" t="str" cm="1">
        <f t="array" aca="1" ref="M368" ca="1">_xlfn.IFS( L368 &lt;=2, "New", L368&lt;=6, "Engaged", L368 &gt;6, "Loyal")</f>
        <v>Engaged</v>
      </c>
      <c r="N368">
        <f t="shared" si="11"/>
        <v>2019</v>
      </c>
    </row>
    <row r="369" spans="1:14" x14ac:dyDescent="0.25">
      <c r="A369" t="s">
        <v>758</v>
      </c>
      <c r="B369" t="s">
        <v>759</v>
      </c>
      <c r="C369" t="s">
        <v>16</v>
      </c>
      <c r="D369">
        <v>66</v>
      </c>
      <c r="E369" t="str" cm="1">
        <f t="array" ref="E369">_xlfn.IFS(D369 &lt; 26, "Gen Z", D369 &lt;= 41, "Millennials", D369 &lt;= 57, "Gen X", D369 &gt;= 58, "Boomers")</f>
        <v>Boomers</v>
      </c>
      <c r="F369" t="s">
        <v>29</v>
      </c>
      <c r="G369" t="s">
        <v>12</v>
      </c>
      <c r="H369">
        <v>131822</v>
      </c>
      <c r="I369" t="str" cm="1">
        <f t="array" ref="I369">_xlfn.IFS(H369 &lt; 30000, "Low", H369 &lt; 60000, "Medium", H369 &lt; 100000, "High", H369 &gt;= 100000, "Premium")</f>
        <v>Premium</v>
      </c>
      <c r="J369" t="s">
        <v>19</v>
      </c>
      <c r="K369" s="1">
        <v>43811</v>
      </c>
      <c r="L369">
        <f t="shared" ca="1" si="10"/>
        <v>6</v>
      </c>
      <c r="M369" t="str" cm="1">
        <f t="array" aca="1" ref="M369" ca="1">_xlfn.IFS( L369 &lt;=2, "New", L369&lt;=6, "Engaged", L369 &gt;6, "Loyal")</f>
        <v>Engaged</v>
      </c>
      <c r="N369">
        <f t="shared" si="11"/>
        <v>2019</v>
      </c>
    </row>
    <row r="370" spans="1:14" x14ac:dyDescent="0.25">
      <c r="A370" t="s">
        <v>760</v>
      </c>
      <c r="B370" t="s">
        <v>761</v>
      </c>
      <c r="C370" t="s">
        <v>10</v>
      </c>
      <c r="D370">
        <v>42</v>
      </c>
      <c r="E370" t="str" cm="1">
        <f t="array" ref="E370">_xlfn.IFS(D370 &lt; 26, "Gen Z", D370 &lt;= 41, "Millennials", D370 &lt;= 57, "Gen X", D370 &gt;= 58, "Boomers")</f>
        <v>Gen X</v>
      </c>
      <c r="F370" t="s">
        <v>29</v>
      </c>
      <c r="G370" t="s">
        <v>36</v>
      </c>
      <c r="H370">
        <v>181099</v>
      </c>
      <c r="I370" t="str" cm="1">
        <f t="array" ref="I370">_xlfn.IFS(H370 &lt; 30000, "Low", H370 &lt; 60000, "Medium", H370 &lt; 100000, "High", H370 &gt;= 100000, "Premium")</f>
        <v>Premium</v>
      </c>
      <c r="J370" t="s">
        <v>19</v>
      </c>
      <c r="K370" s="1">
        <v>44954</v>
      </c>
      <c r="L370">
        <f t="shared" ca="1" si="10"/>
        <v>3</v>
      </c>
      <c r="M370" t="str" cm="1">
        <f t="array" aca="1" ref="M370" ca="1">_xlfn.IFS( L370 &lt;=2, "New", L370&lt;=6, "Engaged", L370 &gt;6, "Loyal")</f>
        <v>Engaged</v>
      </c>
      <c r="N370">
        <f t="shared" si="11"/>
        <v>2023</v>
      </c>
    </row>
    <row r="371" spans="1:14" x14ac:dyDescent="0.25">
      <c r="A371" t="s">
        <v>762</v>
      </c>
      <c r="B371" t="s">
        <v>763</v>
      </c>
      <c r="C371" t="s">
        <v>10</v>
      </c>
      <c r="D371">
        <v>73</v>
      </c>
      <c r="E371" t="str" cm="1">
        <f t="array" ref="E371">_xlfn.IFS(D371 &lt; 26, "Gen Z", D371 &lt;= 41, "Millennials", D371 &lt;= 57, "Gen X", D371 &gt;= 58, "Boomers")</f>
        <v>Boomers</v>
      </c>
      <c r="F371" t="s">
        <v>33</v>
      </c>
      <c r="G371" t="s">
        <v>26</v>
      </c>
      <c r="H371">
        <v>132340</v>
      </c>
      <c r="I371" t="str" cm="1">
        <f t="array" ref="I371">_xlfn.IFS(H371 &lt; 30000, "Low", H371 &lt; 60000, "Medium", H371 &lt; 100000, "High", H371 &gt;= 100000, "Premium")</f>
        <v>Premium</v>
      </c>
      <c r="J371" t="s">
        <v>13</v>
      </c>
      <c r="K371" s="1">
        <v>42545</v>
      </c>
      <c r="L371">
        <f t="shared" ca="1" si="10"/>
        <v>9</v>
      </c>
      <c r="M371" t="str" cm="1">
        <f t="array" aca="1" ref="M371" ca="1">_xlfn.IFS( L371 &lt;=2, "New", L371&lt;=6, "Engaged", L371 &gt;6, "Loyal")</f>
        <v>Loyal</v>
      </c>
      <c r="N371">
        <f t="shared" si="11"/>
        <v>2016</v>
      </c>
    </row>
    <row r="372" spans="1:14" x14ac:dyDescent="0.25">
      <c r="A372" t="s">
        <v>764</v>
      </c>
      <c r="B372" t="s">
        <v>765</v>
      </c>
      <c r="C372" t="s">
        <v>16</v>
      </c>
      <c r="D372">
        <v>50</v>
      </c>
      <c r="E372" t="str" cm="1">
        <f t="array" ref="E372">_xlfn.IFS(D372 &lt; 26, "Gen Z", D372 &lt;= 41, "Millennials", D372 &lt;= 57, "Gen X", D372 &gt;= 58, "Boomers")</f>
        <v>Gen X</v>
      </c>
      <c r="F372" t="s">
        <v>29</v>
      </c>
      <c r="G372" t="s">
        <v>36</v>
      </c>
      <c r="H372">
        <v>79321</v>
      </c>
      <c r="I372" t="str" cm="1">
        <f t="array" ref="I372">_xlfn.IFS(H372 &lt; 30000, "Low", H372 &lt; 60000, "Medium", H372 &lt; 100000, "High", H372 &gt;= 100000, "Premium")</f>
        <v>High</v>
      </c>
      <c r="J372" t="s">
        <v>13</v>
      </c>
      <c r="K372" s="1">
        <v>43047</v>
      </c>
      <c r="L372">
        <f t="shared" ca="1" si="10"/>
        <v>8</v>
      </c>
      <c r="M372" t="str" cm="1">
        <f t="array" aca="1" ref="M372" ca="1">_xlfn.IFS( L372 &lt;=2, "New", L372&lt;=6, "Engaged", L372 &gt;6, "Loyal")</f>
        <v>Loyal</v>
      </c>
      <c r="N372">
        <f t="shared" si="11"/>
        <v>2017</v>
      </c>
    </row>
    <row r="373" spans="1:14" x14ac:dyDescent="0.25">
      <c r="A373" t="s">
        <v>766</v>
      </c>
      <c r="B373" t="s">
        <v>767</v>
      </c>
      <c r="C373" t="s">
        <v>16</v>
      </c>
      <c r="D373">
        <v>55</v>
      </c>
      <c r="E373" t="str" cm="1">
        <f t="array" ref="E373">_xlfn.IFS(D373 &lt; 26, "Gen Z", D373 &lt;= 41, "Millennials", D373 &lt;= 57, "Gen X", D373 &gt;= 58, "Boomers")</f>
        <v>Gen X</v>
      </c>
      <c r="F373" t="s">
        <v>29</v>
      </c>
      <c r="G373" t="s">
        <v>22</v>
      </c>
      <c r="H373">
        <v>152028</v>
      </c>
      <c r="I373" t="str" cm="1">
        <f t="array" ref="I373">_xlfn.IFS(H373 &lt; 30000, "Low", H373 &lt; 60000, "Medium", H373 &lt; 100000, "High", H373 &gt;= 100000, "Premium")</f>
        <v>Premium</v>
      </c>
      <c r="J373" t="s">
        <v>13</v>
      </c>
      <c r="K373" s="1">
        <v>44745</v>
      </c>
      <c r="L373">
        <f t="shared" ca="1" si="10"/>
        <v>3</v>
      </c>
      <c r="M373" t="str" cm="1">
        <f t="array" aca="1" ref="M373" ca="1">_xlfn.IFS( L373 &lt;=2, "New", L373&lt;=6, "Engaged", L373 &gt;6, "Loyal")</f>
        <v>Engaged</v>
      </c>
      <c r="N373">
        <f t="shared" si="11"/>
        <v>2022</v>
      </c>
    </row>
    <row r="374" spans="1:14" x14ac:dyDescent="0.25">
      <c r="A374" t="s">
        <v>768</v>
      </c>
      <c r="B374" t="s">
        <v>769</v>
      </c>
      <c r="C374" t="s">
        <v>16</v>
      </c>
      <c r="D374">
        <v>70</v>
      </c>
      <c r="E374" t="str" cm="1">
        <f t="array" ref="E374">_xlfn.IFS(D374 &lt; 26, "Gen Z", D374 &lt;= 41, "Millennials", D374 &lt;= 57, "Gen X", D374 &gt;= 58, "Boomers")</f>
        <v>Boomers</v>
      </c>
      <c r="F374" t="s">
        <v>11</v>
      </c>
      <c r="G374" t="s">
        <v>36</v>
      </c>
      <c r="H374">
        <v>94131</v>
      </c>
      <c r="I374" t="str" cm="1">
        <f t="array" ref="I374">_xlfn.IFS(H374 &lt; 30000, "Low", H374 &lt; 60000, "Medium", H374 &lt; 100000, "High", H374 &gt;= 100000, "Premium")</f>
        <v>High</v>
      </c>
      <c r="J374" t="s">
        <v>19</v>
      </c>
      <c r="K374" s="1">
        <v>45501</v>
      </c>
      <c r="L374">
        <f t="shared" ca="1" si="10"/>
        <v>1</v>
      </c>
      <c r="M374" t="str" cm="1">
        <f t="array" aca="1" ref="M374" ca="1">_xlfn.IFS( L374 &lt;=2, "New", L374&lt;=6, "Engaged", L374 &gt;6, "Loyal")</f>
        <v>New</v>
      </c>
      <c r="N374">
        <f t="shared" si="11"/>
        <v>2024</v>
      </c>
    </row>
    <row r="375" spans="1:14" x14ac:dyDescent="0.25">
      <c r="A375" t="s">
        <v>770</v>
      </c>
      <c r="B375" t="s">
        <v>771</v>
      </c>
      <c r="C375" t="s">
        <v>16</v>
      </c>
      <c r="D375">
        <v>23</v>
      </c>
      <c r="E375" t="str" cm="1">
        <f t="array" ref="E375">_xlfn.IFS(D375 &lt; 26, "Gen Z", D375 &lt;= 41, "Millennials", D375 &lt;= 57, "Gen X", D375 &gt;= 58, "Boomers")</f>
        <v>Gen Z</v>
      </c>
      <c r="F375" t="s">
        <v>29</v>
      </c>
      <c r="G375" t="s">
        <v>41</v>
      </c>
      <c r="H375">
        <v>198980</v>
      </c>
      <c r="I375" t="str" cm="1">
        <f t="array" ref="I375">_xlfn.IFS(H375 &lt; 30000, "Low", H375 &lt; 60000, "Medium", H375 &lt; 100000, "High", H375 &gt;= 100000, "Premium")</f>
        <v>Premium</v>
      </c>
      <c r="J375" t="s">
        <v>19</v>
      </c>
      <c r="K375" s="1">
        <v>43750</v>
      </c>
      <c r="L375">
        <f t="shared" ca="1" si="10"/>
        <v>6</v>
      </c>
      <c r="M375" t="str" cm="1">
        <f t="array" aca="1" ref="M375" ca="1">_xlfn.IFS( L375 &lt;=2, "New", L375&lt;=6, "Engaged", L375 &gt;6, "Loyal")</f>
        <v>Engaged</v>
      </c>
      <c r="N375">
        <f t="shared" si="11"/>
        <v>2019</v>
      </c>
    </row>
    <row r="376" spans="1:14" x14ac:dyDescent="0.25">
      <c r="A376" t="s">
        <v>772</v>
      </c>
      <c r="B376" t="s">
        <v>773</v>
      </c>
      <c r="C376" t="s">
        <v>10</v>
      </c>
      <c r="D376">
        <v>61</v>
      </c>
      <c r="E376" t="str" cm="1">
        <f t="array" ref="E376">_xlfn.IFS(D376 &lt; 26, "Gen Z", D376 &lt;= 41, "Millennials", D376 &lt;= 57, "Gen X", D376 &gt;= 58, "Boomers")</f>
        <v>Boomers</v>
      </c>
      <c r="F376" t="s">
        <v>17</v>
      </c>
      <c r="G376" t="s">
        <v>36</v>
      </c>
      <c r="H376">
        <v>45963</v>
      </c>
      <c r="I376" t="str" cm="1">
        <f t="array" ref="I376">_xlfn.IFS(H376 &lt; 30000, "Low", H376 &lt; 60000, "Medium", H376 &lt; 100000, "High", H376 &gt;= 100000, "Premium")</f>
        <v>Medium</v>
      </c>
      <c r="J376" t="s">
        <v>13</v>
      </c>
      <c r="K376" s="1">
        <v>44798</v>
      </c>
      <c r="L376">
        <f t="shared" ca="1" si="10"/>
        <v>3</v>
      </c>
      <c r="M376" t="str" cm="1">
        <f t="array" aca="1" ref="M376" ca="1">_xlfn.IFS( L376 &lt;=2, "New", L376&lt;=6, "Engaged", L376 &gt;6, "Loyal")</f>
        <v>Engaged</v>
      </c>
      <c r="N376">
        <f t="shared" si="11"/>
        <v>2022</v>
      </c>
    </row>
    <row r="377" spans="1:14" x14ac:dyDescent="0.25">
      <c r="A377" t="s">
        <v>774</v>
      </c>
      <c r="B377" t="s">
        <v>775</v>
      </c>
      <c r="C377" t="s">
        <v>16</v>
      </c>
      <c r="D377">
        <v>62</v>
      </c>
      <c r="E377" t="str" cm="1">
        <f t="array" ref="E377">_xlfn.IFS(D377 &lt; 26, "Gen Z", D377 &lt;= 41, "Millennials", D377 &lt;= 57, "Gen X", D377 &gt;= 58, "Boomers")</f>
        <v>Boomers</v>
      </c>
      <c r="F377" t="s">
        <v>11</v>
      </c>
      <c r="G377" t="s">
        <v>41</v>
      </c>
      <c r="H377">
        <v>121757</v>
      </c>
      <c r="I377" t="str" cm="1">
        <f t="array" ref="I377">_xlfn.IFS(H377 &lt; 30000, "Low", H377 &lt; 60000, "Medium", H377 &lt; 100000, "High", H377 &gt;= 100000, "Premium")</f>
        <v>Premium</v>
      </c>
      <c r="J377" t="s">
        <v>13</v>
      </c>
      <c r="K377" s="1">
        <v>42284</v>
      </c>
      <c r="L377">
        <f t="shared" ca="1" si="10"/>
        <v>10</v>
      </c>
      <c r="M377" t="str" cm="1">
        <f t="array" aca="1" ref="M377" ca="1">_xlfn.IFS( L377 &lt;=2, "New", L377&lt;=6, "Engaged", L377 &gt;6, "Loyal")</f>
        <v>Loyal</v>
      </c>
      <c r="N377">
        <f t="shared" si="11"/>
        <v>2015</v>
      </c>
    </row>
    <row r="378" spans="1:14" x14ac:dyDescent="0.25">
      <c r="A378" t="s">
        <v>776</v>
      </c>
      <c r="B378" t="s">
        <v>777</v>
      </c>
      <c r="C378" t="s">
        <v>16</v>
      </c>
      <c r="D378">
        <v>49</v>
      </c>
      <c r="E378" t="str" cm="1">
        <f t="array" ref="E378">_xlfn.IFS(D378 &lt; 26, "Gen Z", D378 &lt;= 41, "Millennials", D378 &lt;= 57, "Gen X", D378 &gt;= 58, "Boomers")</f>
        <v>Gen X</v>
      </c>
      <c r="F378" t="s">
        <v>11</v>
      </c>
      <c r="G378" t="s">
        <v>18</v>
      </c>
      <c r="H378">
        <v>190515</v>
      </c>
      <c r="I378" t="str" cm="1">
        <f t="array" ref="I378">_xlfn.IFS(H378 &lt; 30000, "Low", H378 &lt; 60000, "Medium", H378 &lt; 100000, "High", H378 &gt;= 100000, "Premium")</f>
        <v>Premium</v>
      </c>
      <c r="J378" t="s">
        <v>13</v>
      </c>
      <c r="K378" s="1">
        <v>44918</v>
      </c>
      <c r="L378">
        <f t="shared" ca="1" si="10"/>
        <v>3</v>
      </c>
      <c r="M378" t="str" cm="1">
        <f t="array" aca="1" ref="M378" ca="1">_xlfn.IFS( L378 &lt;=2, "New", L378&lt;=6, "Engaged", L378 &gt;6, "Loyal")</f>
        <v>Engaged</v>
      </c>
      <c r="N378">
        <f t="shared" si="11"/>
        <v>2022</v>
      </c>
    </row>
    <row r="379" spans="1:14" x14ac:dyDescent="0.25">
      <c r="A379" t="s">
        <v>778</v>
      </c>
      <c r="B379" t="s">
        <v>779</v>
      </c>
      <c r="C379" t="s">
        <v>10</v>
      </c>
      <c r="D379">
        <v>62</v>
      </c>
      <c r="E379" t="str" cm="1">
        <f t="array" ref="E379">_xlfn.IFS(D379 &lt; 26, "Gen Z", D379 &lt;= 41, "Millennials", D379 &lt;= 57, "Gen X", D379 &gt;= 58, "Boomers")</f>
        <v>Boomers</v>
      </c>
      <c r="F379" t="s">
        <v>33</v>
      </c>
      <c r="G379" t="s">
        <v>30</v>
      </c>
      <c r="H379">
        <v>119259</v>
      </c>
      <c r="I379" t="str" cm="1">
        <f t="array" ref="I379">_xlfn.IFS(H379 &lt; 30000, "Low", H379 &lt; 60000, "Medium", H379 &lt; 100000, "High", H379 &gt;= 100000, "Premium")</f>
        <v>Premium</v>
      </c>
      <c r="J379" t="s">
        <v>23</v>
      </c>
      <c r="K379" s="1">
        <v>42731</v>
      </c>
      <c r="L379">
        <f t="shared" ca="1" si="10"/>
        <v>9</v>
      </c>
      <c r="M379" t="str" cm="1">
        <f t="array" aca="1" ref="M379" ca="1">_xlfn.IFS( L379 &lt;=2, "New", L379&lt;=6, "Engaged", L379 &gt;6, "Loyal")</f>
        <v>Loyal</v>
      </c>
      <c r="N379">
        <f t="shared" si="11"/>
        <v>2016</v>
      </c>
    </row>
    <row r="380" spans="1:14" x14ac:dyDescent="0.25">
      <c r="A380" t="s">
        <v>780</v>
      </c>
      <c r="B380" t="s">
        <v>781</v>
      </c>
      <c r="C380" t="s">
        <v>16</v>
      </c>
      <c r="D380">
        <v>64</v>
      </c>
      <c r="E380" t="str" cm="1">
        <f t="array" ref="E380">_xlfn.IFS(D380 &lt; 26, "Gen Z", D380 &lt;= 41, "Millennials", D380 &lt;= 57, "Gen X", D380 &gt;= 58, "Boomers")</f>
        <v>Boomers</v>
      </c>
      <c r="F380" t="s">
        <v>29</v>
      </c>
      <c r="G380" t="s">
        <v>12</v>
      </c>
      <c r="H380">
        <v>59063</v>
      </c>
      <c r="I380" t="str" cm="1">
        <f t="array" ref="I380">_xlfn.IFS(H380 &lt; 30000, "Low", H380 &lt; 60000, "Medium", H380 &lt; 100000, "High", H380 &gt;= 100000, "Premium")</f>
        <v>Medium</v>
      </c>
      <c r="J380" t="s">
        <v>13</v>
      </c>
      <c r="K380" s="1">
        <v>44972</v>
      </c>
      <c r="L380">
        <f t="shared" ca="1" si="10"/>
        <v>3</v>
      </c>
      <c r="M380" t="str" cm="1">
        <f t="array" aca="1" ref="M380" ca="1">_xlfn.IFS( L380 &lt;=2, "New", L380&lt;=6, "Engaged", L380 &gt;6, "Loyal")</f>
        <v>Engaged</v>
      </c>
      <c r="N380">
        <f t="shared" si="11"/>
        <v>2023</v>
      </c>
    </row>
    <row r="381" spans="1:14" x14ac:dyDescent="0.25">
      <c r="A381" t="s">
        <v>782</v>
      </c>
      <c r="B381" t="s">
        <v>783</v>
      </c>
      <c r="C381" t="s">
        <v>10</v>
      </c>
      <c r="D381">
        <v>38</v>
      </c>
      <c r="E381" t="str" cm="1">
        <f t="array" ref="E381">_xlfn.IFS(D381 &lt; 26, "Gen Z", D381 &lt;= 41, "Millennials", D381 &lt;= 57, "Gen X", D381 &gt;= 58, "Boomers")</f>
        <v>Millennials</v>
      </c>
      <c r="F381" t="s">
        <v>33</v>
      </c>
      <c r="G381" t="s">
        <v>41</v>
      </c>
      <c r="H381">
        <v>134225</v>
      </c>
      <c r="I381" t="str" cm="1">
        <f t="array" ref="I381">_xlfn.IFS(H381 &lt; 30000, "Low", H381 &lt; 60000, "Medium", H381 &lt; 100000, "High", H381 &gt;= 100000, "Premium")</f>
        <v>Premium</v>
      </c>
      <c r="J381" t="s">
        <v>19</v>
      </c>
      <c r="K381" s="1">
        <v>44538</v>
      </c>
      <c r="L381">
        <f t="shared" ca="1" si="10"/>
        <v>4</v>
      </c>
      <c r="M381" t="str" cm="1">
        <f t="array" aca="1" ref="M381" ca="1">_xlfn.IFS( L381 &lt;=2, "New", L381&lt;=6, "Engaged", L381 &gt;6, "Loyal")</f>
        <v>Engaged</v>
      </c>
      <c r="N381">
        <f t="shared" si="11"/>
        <v>2021</v>
      </c>
    </row>
    <row r="382" spans="1:14" x14ac:dyDescent="0.25">
      <c r="A382" t="s">
        <v>784</v>
      </c>
      <c r="B382" t="s">
        <v>785</v>
      </c>
      <c r="C382" t="s">
        <v>16</v>
      </c>
      <c r="D382">
        <v>33</v>
      </c>
      <c r="E382" t="str" cm="1">
        <f t="array" ref="E382">_xlfn.IFS(D382 &lt; 26, "Gen Z", D382 &lt;= 41, "Millennials", D382 &lt;= 57, "Gen X", D382 &gt;= 58, "Boomers")</f>
        <v>Millennials</v>
      </c>
      <c r="F382" t="s">
        <v>17</v>
      </c>
      <c r="G382" t="s">
        <v>26</v>
      </c>
      <c r="H382">
        <v>136400</v>
      </c>
      <c r="I382" t="str" cm="1">
        <f t="array" ref="I382">_xlfn.IFS(H382 &lt; 30000, "Low", H382 &lt; 60000, "Medium", H382 &lt; 100000, "High", H382 &gt;= 100000, "Premium")</f>
        <v>Premium</v>
      </c>
      <c r="J382" t="s">
        <v>19</v>
      </c>
      <c r="K382" s="1">
        <v>43463</v>
      </c>
      <c r="L382">
        <f t="shared" ca="1" si="10"/>
        <v>7</v>
      </c>
      <c r="M382" t="str" cm="1">
        <f t="array" aca="1" ref="M382" ca="1">_xlfn.IFS( L382 &lt;=2, "New", L382&lt;=6, "Engaged", L382 &gt;6, "Loyal")</f>
        <v>Loyal</v>
      </c>
      <c r="N382">
        <f t="shared" si="11"/>
        <v>2018</v>
      </c>
    </row>
    <row r="383" spans="1:14" x14ac:dyDescent="0.25">
      <c r="A383" t="s">
        <v>786</v>
      </c>
      <c r="B383" t="s">
        <v>787</v>
      </c>
      <c r="C383" t="s">
        <v>16</v>
      </c>
      <c r="D383">
        <v>71</v>
      </c>
      <c r="E383" t="str" cm="1">
        <f t="array" ref="E383">_xlfn.IFS(D383 &lt; 26, "Gen Z", D383 &lt;= 41, "Millennials", D383 &lt;= 57, "Gen X", D383 &gt;= 58, "Boomers")</f>
        <v>Boomers</v>
      </c>
      <c r="F383" t="s">
        <v>11</v>
      </c>
      <c r="G383" t="s">
        <v>36</v>
      </c>
      <c r="H383">
        <v>100818</v>
      </c>
      <c r="I383" t="str" cm="1">
        <f t="array" ref="I383">_xlfn.IFS(H383 &lt; 30000, "Low", H383 &lt; 60000, "Medium", H383 &lt; 100000, "High", H383 &gt;= 100000, "Premium")</f>
        <v>Premium</v>
      </c>
      <c r="J383" t="s">
        <v>13</v>
      </c>
      <c r="K383" s="1">
        <v>43995</v>
      </c>
      <c r="L383">
        <f t="shared" ca="1" si="10"/>
        <v>5</v>
      </c>
      <c r="M383" t="str" cm="1">
        <f t="array" aca="1" ref="M383" ca="1">_xlfn.IFS( L383 &lt;=2, "New", L383&lt;=6, "Engaged", L383 &gt;6, "Loyal")</f>
        <v>Engaged</v>
      </c>
      <c r="N383">
        <f t="shared" si="11"/>
        <v>2020</v>
      </c>
    </row>
    <row r="384" spans="1:14" x14ac:dyDescent="0.25">
      <c r="A384" t="s">
        <v>788</v>
      </c>
      <c r="B384" t="s">
        <v>789</v>
      </c>
      <c r="C384" t="s">
        <v>16</v>
      </c>
      <c r="D384">
        <v>38</v>
      </c>
      <c r="E384" t="str" cm="1">
        <f t="array" ref="E384">_xlfn.IFS(D384 &lt; 26, "Gen Z", D384 &lt;= 41, "Millennials", D384 &lt;= 57, "Gen X", D384 &gt;= 58, "Boomers")</f>
        <v>Millennials</v>
      </c>
      <c r="F384" t="s">
        <v>11</v>
      </c>
      <c r="G384" t="s">
        <v>41</v>
      </c>
      <c r="H384">
        <v>24703</v>
      </c>
      <c r="I384" t="str" cm="1">
        <f t="array" ref="I384">_xlfn.IFS(H384 &lt; 30000, "Low", H384 &lt; 60000, "Medium", H384 &lt; 100000, "High", H384 &gt;= 100000, "Premium")</f>
        <v>Low</v>
      </c>
      <c r="J384" t="s">
        <v>13</v>
      </c>
      <c r="K384" s="1">
        <v>44896</v>
      </c>
      <c r="L384">
        <f t="shared" ca="1" si="10"/>
        <v>3</v>
      </c>
      <c r="M384" t="str" cm="1">
        <f t="array" aca="1" ref="M384" ca="1">_xlfn.IFS( L384 &lt;=2, "New", L384&lt;=6, "Engaged", L384 &gt;6, "Loyal")</f>
        <v>Engaged</v>
      </c>
      <c r="N384">
        <f t="shared" si="11"/>
        <v>2022</v>
      </c>
    </row>
    <row r="385" spans="1:14" x14ac:dyDescent="0.25">
      <c r="A385" t="s">
        <v>790</v>
      </c>
      <c r="B385" t="s">
        <v>791</v>
      </c>
      <c r="C385" t="s">
        <v>10</v>
      </c>
      <c r="D385">
        <v>28</v>
      </c>
      <c r="E385" t="str" cm="1">
        <f t="array" ref="E385">_xlfn.IFS(D385 &lt; 26, "Gen Z", D385 &lt;= 41, "Millennials", D385 &lt;= 57, "Gen X", D385 &gt;= 58, "Boomers")</f>
        <v>Millennials</v>
      </c>
      <c r="F385" t="s">
        <v>11</v>
      </c>
      <c r="G385" t="s">
        <v>26</v>
      </c>
      <c r="H385">
        <v>92099</v>
      </c>
      <c r="I385" t="str" cm="1">
        <f t="array" ref="I385">_xlfn.IFS(H385 &lt; 30000, "Low", H385 &lt; 60000, "Medium", H385 &lt; 100000, "High", H385 &gt;= 100000, "Premium")</f>
        <v>High</v>
      </c>
      <c r="J385" t="s">
        <v>13</v>
      </c>
      <c r="K385" s="1">
        <v>44410</v>
      </c>
      <c r="L385">
        <f t="shared" ca="1" si="10"/>
        <v>4</v>
      </c>
      <c r="M385" t="str" cm="1">
        <f t="array" aca="1" ref="M385" ca="1">_xlfn.IFS( L385 &lt;=2, "New", L385&lt;=6, "Engaged", L385 &gt;6, "Loyal")</f>
        <v>Engaged</v>
      </c>
      <c r="N385">
        <f t="shared" si="11"/>
        <v>2021</v>
      </c>
    </row>
    <row r="386" spans="1:14" x14ac:dyDescent="0.25">
      <c r="A386" t="s">
        <v>792</v>
      </c>
      <c r="B386" t="s">
        <v>793</v>
      </c>
      <c r="C386" t="s">
        <v>10</v>
      </c>
      <c r="D386">
        <v>54</v>
      </c>
      <c r="E386" t="str" cm="1">
        <f t="array" ref="E386">_xlfn.IFS(D386 &lt; 26, "Gen Z", D386 &lt;= 41, "Millennials", D386 &lt;= 57, "Gen X", D386 &gt;= 58, "Boomers")</f>
        <v>Gen X</v>
      </c>
      <c r="F386" t="s">
        <v>17</v>
      </c>
      <c r="G386" t="s">
        <v>30</v>
      </c>
      <c r="H386">
        <v>176921</v>
      </c>
      <c r="I386" t="str" cm="1">
        <f t="array" ref="I386">_xlfn.IFS(H386 &lt; 30000, "Low", H386 &lt; 60000, "Medium", H386 &lt; 100000, "High", H386 &gt;= 100000, "Premium")</f>
        <v>Premium</v>
      </c>
      <c r="J386" t="s">
        <v>19</v>
      </c>
      <c r="K386" s="1">
        <v>44889</v>
      </c>
      <c r="L386">
        <f t="shared" ref="L386:L449" ca="1" si="12">DATEDIF(K386, TODAY(), "Y")</f>
        <v>3</v>
      </c>
      <c r="M386" t="str" cm="1">
        <f t="array" aca="1" ref="M386" ca="1">_xlfn.IFS( L386 &lt;=2, "New", L386&lt;=6, "Engaged", L386 &gt;6, "Loyal")</f>
        <v>Engaged</v>
      </c>
      <c r="N386">
        <f t="shared" ref="N386:N449" si="13">YEAR(K386)</f>
        <v>2022</v>
      </c>
    </row>
    <row r="387" spans="1:14" x14ac:dyDescent="0.25">
      <c r="A387" t="s">
        <v>794</v>
      </c>
      <c r="B387" t="s">
        <v>795</v>
      </c>
      <c r="C387" t="s">
        <v>16</v>
      </c>
      <c r="D387">
        <v>53</v>
      </c>
      <c r="E387" t="str" cm="1">
        <f t="array" ref="E387">_xlfn.IFS(D387 &lt; 26, "Gen Z", D387 &lt;= 41, "Millennials", D387 &lt;= 57, "Gen X", D387 &gt;= 58, "Boomers")</f>
        <v>Gen X</v>
      </c>
      <c r="F387" t="s">
        <v>17</v>
      </c>
      <c r="G387" t="s">
        <v>30</v>
      </c>
      <c r="H387">
        <v>182932</v>
      </c>
      <c r="I387" t="str" cm="1">
        <f t="array" ref="I387">_xlfn.IFS(H387 &lt; 30000, "Low", H387 &lt; 60000, "Medium", H387 &lt; 100000, "High", H387 &gt;= 100000, "Premium")</f>
        <v>Premium</v>
      </c>
      <c r="J387" t="s">
        <v>19</v>
      </c>
      <c r="K387" s="1">
        <v>45157</v>
      </c>
      <c r="L387">
        <f t="shared" ca="1" si="12"/>
        <v>2</v>
      </c>
      <c r="M387" t="str" cm="1">
        <f t="array" aca="1" ref="M387" ca="1">_xlfn.IFS( L387 &lt;=2, "New", L387&lt;=6, "Engaged", L387 &gt;6, "Loyal")</f>
        <v>New</v>
      </c>
      <c r="N387">
        <f t="shared" si="13"/>
        <v>2023</v>
      </c>
    </row>
    <row r="388" spans="1:14" x14ac:dyDescent="0.25">
      <c r="A388" t="s">
        <v>796</v>
      </c>
      <c r="B388" t="s">
        <v>797</v>
      </c>
      <c r="C388" t="s">
        <v>10</v>
      </c>
      <c r="D388">
        <v>52</v>
      </c>
      <c r="E388" t="str" cm="1">
        <f t="array" ref="E388">_xlfn.IFS(D388 &lt; 26, "Gen Z", D388 &lt;= 41, "Millennials", D388 &lt;= 57, "Gen X", D388 &gt;= 58, "Boomers")</f>
        <v>Gen X</v>
      </c>
      <c r="F388" t="s">
        <v>33</v>
      </c>
      <c r="G388" t="s">
        <v>36</v>
      </c>
      <c r="H388">
        <v>51585</v>
      </c>
      <c r="I388" t="str" cm="1">
        <f t="array" ref="I388">_xlfn.IFS(H388 &lt; 30000, "Low", H388 &lt; 60000, "Medium", H388 &lt; 100000, "High", H388 &gt;= 100000, "Premium")</f>
        <v>Medium</v>
      </c>
      <c r="J388" t="s">
        <v>19</v>
      </c>
      <c r="K388" s="1">
        <v>43577</v>
      </c>
      <c r="L388">
        <f t="shared" ca="1" si="12"/>
        <v>7</v>
      </c>
      <c r="M388" t="str" cm="1">
        <f t="array" aca="1" ref="M388" ca="1">_xlfn.IFS( L388 &lt;=2, "New", L388&lt;=6, "Engaged", L388 &gt;6, "Loyal")</f>
        <v>Loyal</v>
      </c>
      <c r="N388">
        <f t="shared" si="13"/>
        <v>2019</v>
      </c>
    </row>
    <row r="389" spans="1:14" x14ac:dyDescent="0.25">
      <c r="A389" t="s">
        <v>798</v>
      </c>
      <c r="B389" t="s">
        <v>799</v>
      </c>
      <c r="C389" t="s">
        <v>10</v>
      </c>
      <c r="D389">
        <v>36</v>
      </c>
      <c r="E389" t="str" cm="1">
        <f t="array" ref="E389">_xlfn.IFS(D389 &lt; 26, "Gen Z", D389 &lt;= 41, "Millennials", D389 &lt;= 57, "Gen X", D389 &gt;= 58, "Boomers")</f>
        <v>Millennials</v>
      </c>
      <c r="F389" t="s">
        <v>33</v>
      </c>
      <c r="G389" t="s">
        <v>22</v>
      </c>
      <c r="H389">
        <v>173087</v>
      </c>
      <c r="I389" t="str" cm="1">
        <f t="array" ref="I389">_xlfn.IFS(H389 &lt; 30000, "Low", H389 &lt; 60000, "Medium", H389 &lt; 100000, "High", H389 &gt;= 100000, "Premium")</f>
        <v>Premium</v>
      </c>
      <c r="J389" t="s">
        <v>13</v>
      </c>
      <c r="K389" s="1">
        <v>43947</v>
      </c>
      <c r="L389">
        <f t="shared" ca="1" si="12"/>
        <v>5</v>
      </c>
      <c r="M389" t="str" cm="1">
        <f t="array" aca="1" ref="M389" ca="1">_xlfn.IFS( L389 &lt;=2, "New", L389&lt;=6, "Engaged", L389 &gt;6, "Loyal")</f>
        <v>Engaged</v>
      </c>
      <c r="N389">
        <f t="shared" si="13"/>
        <v>2020</v>
      </c>
    </row>
    <row r="390" spans="1:14" x14ac:dyDescent="0.25">
      <c r="A390" t="s">
        <v>800</v>
      </c>
      <c r="B390" t="s">
        <v>801</v>
      </c>
      <c r="C390" t="s">
        <v>10</v>
      </c>
      <c r="D390">
        <v>37</v>
      </c>
      <c r="E390" t="str" cm="1">
        <f t="array" ref="E390">_xlfn.IFS(D390 &lt; 26, "Gen Z", D390 &lt;= 41, "Millennials", D390 &lt;= 57, "Gen X", D390 &gt;= 58, "Boomers")</f>
        <v>Millennials</v>
      </c>
      <c r="F390" t="s">
        <v>33</v>
      </c>
      <c r="G390" t="s">
        <v>36</v>
      </c>
      <c r="H390">
        <v>63585</v>
      </c>
      <c r="I390" t="str" cm="1">
        <f t="array" ref="I390">_xlfn.IFS(H390 &lt; 30000, "Low", H390 &lt; 60000, "Medium", H390 &lt; 100000, "High", H390 &gt;= 100000, "Premium")</f>
        <v>High</v>
      </c>
      <c r="J390" t="s">
        <v>13</v>
      </c>
      <c r="K390" s="1">
        <v>42757</v>
      </c>
      <c r="L390">
        <f t="shared" ca="1" si="12"/>
        <v>9</v>
      </c>
      <c r="M390" t="str" cm="1">
        <f t="array" aca="1" ref="M390" ca="1">_xlfn.IFS( L390 &lt;=2, "New", L390&lt;=6, "Engaged", L390 &gt;6, "Loyal")</f>
        <v>Loyal</v>
      </c>
      <c r="N390">
        <f t="shared" si="13"/>
        <v>2017</v>
      </c>
    </row>
    <row r="391" spans="1:14" x14ac:dyDescent="0.25">
      <c r="A391" t="s">
        <v>802</v>
      </c>
      <c r="B391" t="s">
        <v>803</v>
      </c>
      <c r="C391" t="s">
        <v>10</v>
      </c>
      <c r="D391">
        <v>74</v>
      </c>
      <c r="E391" t="str" cm="1">
        <f t="array" ref="E391">_xlfn.IFS(D391 &lt; 26, "Gen Z", D391 &lt;= 41, "Millennials", D391 &lt;= 57, "Gen X", D391 &gt;= 58, "Boomers")</f>
        <v>Boomers</v>
      </c>
      <c r="F391" t="s">
        <v>29</v>
      </c>
      <c r="G391" t="s">
        <v>18</v>
      </c>
      <c r="H391">
        <v>46958</v>
      </c>
      <c r="I391" t="str" cm="1">
        <f t="array" ref="I391">_xlfn.IFS(H391 &lt; 30000, "Low", H391 &lt; 60000, "Medium", H391 &lt; 100000, "High", H391 &gt;= 100000, "Premium")</f>
        <v>Medium</v>
      </c>
      <c r="J391" t="s">
        <v>23</v>
      </c>
      <c r="K391" s="1">
        <v>44220</v>
      </c>
      <c r="L391">
        <f t="shared" ca="1" si="12"/>
        <v>5</v>
      </c>
      <c r="M391" t="str" cm="1">
        <f t="array" aca="1" ref="M391" ca="1">_xlfn.IFS( L391 &lt;=2, "New", L391&lt;=6, "Engaged", L391 &gt;6, "Loyal")</f>
        <v>Engaged</v>
      </c>
      <c r="N391">
        <f t="shared" si="13"/>
        <v>2021</v>
      </c>
    </row>
    <row r="392" spans="1:14" x14ac:dyDescent="0.25">
      <c r="A392" t="s">
        <v>804</v>
      </c>
      <c r="B392" t="s">
        <v>805</v>
      </c>
      <c r="C392" t="s">
        <v>10</v>
      </c>
      <c r="D392">
        <v>35</v>
      </c>
      <c r="E392" t="str" cm="1">
        <f t="array" ref="E392">_xlfn.IFS(D392 &lt; 26, "Gen Z", D392 &lt;= 41, "Millennials", D392 &lt;= 57, "Gen X", D392 &gt;= 58, "Boomers")</f>
        <v>Millennials</v>
      </c>
      <c r="F392" t="s">
        <v>11</v>
      </c>
      <c r="G392" t="s">
        <v>41</v>
      </c>
      <c r="H392">
        <v>46017</v>
      </c>
      <c r="I392" t="str" cm="1">
        <f t="array" ref="I392">_xlfn.IFS(H392 &lt; 30000, "Low", H392 &lt; 60000, "Medium", H392 &lt; 100000, "High", H392 &gt;= 100000, "Premium")</f>
        <v>Medium</v>
      </c>
      <c r="J392" t="s">
        <v>19</v>
      </c>
      <c r="K392" s="1">
        <v>42931</v>
      </c>
      <c r="L392">
        <f t="shared" ca="1" si="12"/>
        <v>8</v>
      </c>
      <c r="M392" t="str" cm="1">
        <f t="array" aca="1" ref="M392" ca="1">_xlfn.IFS( L392 &lt;=2, "New", L392&lt;=6, "Engaged", L392 &gt;6, "Loyal")</f>
        <v>Loyal</v>
      </c>
      <c r="N392">
        <f t="shared" si="13"/>
        <v>2017</v>
      </c>
    </row>
    <row r="393" spans="1:14" x14ac:dyDescent="0.25">
      <c r="A393" t="s">
        <v>806</v>
      </c>
      <c r="B393" t="s">
        <v>807</v>
      </c>
      <c r="C393" t="s">
        <v>10</v>
      </c>
      <c r="D393">
        <v>64</v>
      </c>
      <c r="E393" t="str" cm="1">
        <f t="array" ref="E393">_xlfn.IFS(D393 &lt; 26, "Gen Z", D393 &lt;= 41, "Millennials", D393 &lt;= 57, "Gen X", D393 &gt;= 58, "Boomers")</f>
        <v>Boomers</v>
      </c>
      <c r="F393" t="s">
        <v>11</v>
      </c>
      <c r="G393" t="s">
        <v>12</v>
      </c>
      <c r="H393">
        <v>144677</v>
      </c>
      <c r="I393" t="str" cm="1">
        <f t="array" ref="I393">_xlfn.IFS(H393 &lt; 30000, "Low", H393 &lt; 60000, "Medium", H393 &lt; 100000, "High", H393 &gt;= 100000, "Premium")</f>
        <v>Premium</v>
      </c>
      <c r="J393" t="s">
        <v>13</v>
      </c>
      <c r="K393" s="1">
        <v>43422</v>
      </c>
      <c r="L393">
        <f t="shared" ca="1" si="12"/>
        <v>7</v>
      </c>
      <c r="M393" t="str" cm="1">
        <f t="array" aca="1" ref="M393" ca="1">_xlfn.IFS( L393 &lt;=2, "New", L393&lt;=6, "Engaged", L393 &gt;6, "Loyal")</f>
        <v>Loyal</v>
      </c>
      <c r="N393">
        <f t="shared" si="13"/>
        <v>2018</v>
      </c>
    </row>
    <row r="394" spans="1:14" x14ac:dyDescent="0.25">
      <c r="A394" t="s">
        <v>808</v>
      </c>
      <c r="B394" t="s">
        <v>809</v>
      </c>
      <c r="C394" t="s">
        <v>16</v>
      </c>
      <c r="D394">
        <v>58</v>
      </c>
      <c r="E394" t="str" cm="1">
        <f t="array" ref="E394">_xlfn.IFS(D394 &lt; 26, "Gen Z", D394 &lt;= 41, "Millennials", D394 &lt;= 57, "Gen X", D394 &gt;= 58, "Boomers")</f>
        <v>Boomers</v>
      </c>
      <c r="F394" t="s">
        <v>33</v>
      </c>
      <c r="G394" t="s">
        <v>22</v>
      </c>
      <c r="H394">
        <v>196422</v>
      </c>
      <c r="I394" t="str" cm="1">
        <f t="array" ref="I394">_xlfn.IFS(H394 &lt; 30000, "Low", H394 &lt; 60000, "Medium", H394 &lt; 100000, "High", H394 &gt;= 100000, "Premium")</f>
        <v>Premium</v>
      </c>
      <c r="J394" t="s">
        <v>23</v>
      </c>
      <c r="K394" s="1">
        <v>44545</v>
      </c>
      <c r="L394">
        <f t="shared" ca="1" si="12"/>
        <v>4</v>
      </c>
      <c r="M394" t="str" cm="1">
        <f t="array" aca="1" ref="M394" ca="1">_xlfn.IFS( L394 &lt;=2, "New", L394&lt;=6, "Engaged", L394 &gt;6, "Loyal")</f>
        <v>Engaged</v>
      </c>
      <c r="N394">
        <f t="shared" si="13"/>
        <v>2021</v>
      </c>
    </row>
    <row r="395" spans="1:14" x14ac:dyDescent="0.25">
      <c r="A395" t="s">
        <v>810</v>
      </c>
      <c r="B395" t="s">
        <v>811</v>
      </c>
      <c r="C395" t="s">
        <v>16</v>
      </c>
      <c r="D395">
        <v>66</v>
      </c>
      <c r="E395" t="str" cm="1">
        <f t="array" ref="E395">_xlfn.IFS(D395 &lt; 26, "Gen Z", D395 &lt;= 41, "Millennials", D395 &lt;= 57, "Gen X", D395 &gt;= 58, "Boomers")</f>
        <v>Boomers</v>
      </c>
      <c r="F395" t="s">
        <v>11</v>
      </c>
      <c r="G395" t="s">
        <v>36</v>
      </c>
      <c r="H395">
        <v>163273</v>
      </c>
      <c r="I395" t="str" cm="1">
        <f t="array" ref="I395">_xlfn.IFS(H395 &lt; 30000, "Low", H395 &lt; 60000, "Medium", H395 &lt; 100000, "High", H395 &gt;= 100000, "Premium")</f>
        <v>Premium</v>
      </c>
      <c r="J395" t="s">
        <v>19</v>
      </c>
      <c r="K395" s="1">
        <v>42384</v>
      </c>
      <c r="L395">
        <f t="shared" ca="1" si="12"/>
        <v>10</v>
      </c>
      <c r="M395" t="str" cm="1">
        <f t="array" aca="1" ref="M395" ca="1">_xlfn.IFS( L395 &lt;=2, "New", L395&lt;=6, "Engaged", L395 &gt;6, "Loyal")</f>
        <v>Loyal</v>
      </c>
      <c r="N395">
        <f t="shared" si="13"/>
        <v>2016</v>
      </c>
    </row>
    <row r="396" spans="1:14" x14ac:dyDescent="0.25">
      <c r="A396" t="s">
        <v>812</v>
      </c>
      <c r="B396" t="s">
        <v>813</v>
      </c>
      <c r="C396" t="s">
        <v>10</v>
      </c>
      <c r="D396">
        <v>31</v>
      </c>
      <c r="E396" t="str" cm="1">
        <f t="array" ref="E396">_xlfn.IFS(D396 &lt; 26, "Gen Z", D396 &lt;= 41, "Millennials", D396 &lt;= 57, "Gen X", D396 &gt;= 58, "Boomers")</f>
        <v>Millennials</v>
      </c>
      <c r="F396" t="s">
        <v>33</v>
      </c>
      <c r="G396" t="s">
        <v>26</v>
      </c>
      <c r="H396">
        <v>49426</v>
      </c>
      <c r="I396" t="str" cm="1">
        <f t="array" ref="I396">_xlfn.IFS(H396 &lt; 30000, "Low", H396 &lt; 60000, "Medium", H396 &lt; 100000, "High", H396 &gt;= 100000, "Premium")</f>
        <v>Medium</v>
      </c>
      <c r="J396" t="s">
        <v>13</v>
      </c>
      <c r="K396" s="1">
        <v>45372</v>
      </c>
      <c r="L396">
        <f t="shared" ca="1" si="12"/>
        <v>2</v>
      </c>
      <c r="M396" t="str" cm="1">
        <f t="array" aca="1" ref="M396" ca="1">_xlfn.IFS( L396 &lt;=2, "New", L396&lt;=6, "Engaged", L396 &gt;6, "Loyal")</f>
        <v>New</v>
      </c>
      <c r="N396">
        <f t="shared" si="13"/>
        <v>2024</v>
      </c>
    </row>
    <row r="397" spans="1:14" x14ac:dyDescent="0.25">
      <c r="A397" t="s">
        <v>814</v>
      </c>
      <c r="B397" t="s">
        <v>815</v>
      </c>
      <c r="C397" t="s">
        <v>16</v>
      </c>
      <c r="D397">
        <v>32</v>
      </c>
      <c r="E397" t="str" cm="1">
        <f t="array" ref="E397">_xlfn.IFS(D397 &lt; 26, "Gen Z", D397 &lt;= 41, "Millennials", D397 &lt;= 57, "Gen X", D397 &gt;= 58, "Boomers")</f>
        <v>Millennials</v>
      </c>
      <c r="F397" t="s">
        <v>29</v>
      </c>
      <c r="G397" t="s">
        <v>22</v>
      </c>
      <c r="H397">
        <v>37778</v>
      </c>
      <c r="I397" t="str" cm="1">
        <f t="array" ref="I397">_xlfn.IFS(H397 &lt; 30000, "Low", H397 &lt; 60000, "Medium", H397 &lt; 100000, "High", H397 &gt;= 100000, "Premium")</f>
        <v>Medium</v>
      </c>
      <c r="J397" t="s">
        <v>19</v>
      </c>
      <c r="K397" s="1">
        <v>44714</v>
      </c>
      <c r="L397">
        <f t="shared" ca="1" si="12"/>
        <v>3</v>
      </c>
      <c r="M397" t="str" cm="1">
        <f t="array" aca="1" ref="M397" ca="1">_xlfn.IFS( L397 &lt;=2, "New", L397&lt;=6, "Engaged", L397 &gt;6, "Loyal")</f>
        <v>Engaged</v>
      </c>
      <c r="N397">
        <f t="shared" si="13"/>
        <v>2022</v>
      </c>
    </row>
    <row r="398" spans="1:14" x14ac:dyDescent="0.25">
      <c r="A398" t="s">
        <v>816</v>
      </c>
      <c r="B398" t="s">
        <v>817</v>
      </c>
      <c r="C398" t="s">
        <v>16</v>
      </c>
      <c r="D398">
        <v>48</v>
      </c>
      <c r="E398" t="str" cm="1">
        <f t="array" ref="E398">_xlfn.IFS(D398 &lt; 26, "Gen Z", D398 &lt;= 41, "Millennials", D398 &lt;= 57, "Gen X", D398 &gt;= 58, "Boomers")</f>
        <v>Gen X</v>
      </c>
      <c r="F398" t="s">
        <v>29</v>
      </c>
      <c r="G398" t="s">
        <v>41</v>
      </c>
      <c r="H398">
        <v>196313</v>
      </c>
      <c r="I398" t="str" cm="1">
        <f t="array" ref="I398">_xlfn.IFS(H398 &lt; 30000, "Low", H398 &lt; 60000, "Medium", H398 &lt; 100000, "High", H398 &gt;= 100000, "Premium")</f>
        <v>Premium</v>
      </c>
      <c r="J398" t="s">
        <v>19</v>
      </c>
      <c r="K398" s="1">
        <v>44176</v>
      </c>
      <c r="L398">
        <f t="shared" ca="1" si="12"/>
        <v>5</v>
      </c>
      <c r="M398" t="str" cm="1">
        <f t="array" aca="1" ref="M398" ca="1">_xlfn.IFS( L398 &lt;=2, "New", L398&lt;=6, "Engaged", L398 &gt;6, "Loyal")</f>
        <v>Engaged</v>
      </c>
      <c r="N398">
        <f t="shared" si="13"/>
        <v>2020</v>
      </c>
    </row>
    <row r="399" spans="1:14" x14ac:dyDescent="0.25">
      <c r="A399" t="s">
        <v>818</v>
      </c>
      <c r="B399" t="s">
        <v>819</v>
      </c>
      <c r="C399" t="s">
        <v>16</v>
      </c>
      <c r="D399">
        <v>18</v>
      </c>
      <c r="E399" t="str" cm="1">
        <f t="array" ref="E399">_xlfn.IFS(D399 &lt; 26, "Gen Z", D399 &lt;= 41, "Millennials", D399 &lt;= 57, "Gen X", D399 &gt;= 58, "Boomers")</f>
        <v>Gen Z</v>
      </c>
      <c r="F399" t="s">
        <v>17</v>
      </c>
      <c r="G399" t="s">
        <v>22</v>
      </c>
      <c r="H399">
        <v>62229</v>
      </c>
      <c r="I399" t="str" cm="1">
        <f t="array" ref="I399">_xlfn.IFS(H399 &lt; 30000, "Low", H399 &lt; 60000, "Medium", H399 &lt; 100000, "High", H399 &gt;= 100000, "Premium")</f>
        <v>High</v>
      </c>
      <c r="J399" t="s">
        <v>19</v>
      </c>
      <c r="K399" s="1">
        <v>45160</v>
      </c>
      <c r="L399">
        <f t="shared" ca="1" si="12"/>
        <v>2</v>
      </c>
      <c r="M399" t="str" cm="1">
        <f t="array" aca="1" ref="M399" ca="1">_xlfn.IFS( L399 &lt;=2, "New", L399&lt;=6, "Engaged", L399 &gt;6, "Loyal")</f>
        <v>New</v>
      </c>
      <c r="N399">
        <f t="shared" si="13"/>
        <v>2023</v>
      </c>
    </row>
    <row r="400" spans="1:14" x14ac:dyDescent="0.25">
      <c r="A400" t="s">
        <v>820</v>
      </c>
      <c r="B400" t="s">
        <v>821</v>
      </c>
      <c r="C400" t="s">
        <v>16</v>
      </c>
      <c r="D400">
        <v>70</v>
      </c>
      <c r="E400" t="str" cm="1">
        <f t="array" ref="E400">_xlfn.IFS(D400 &lt; 26, "Gen Z", D400 &lt;= 41, "Millennials", D400 &lt;= 57, "Gen X", D400 &gt;= 58, "Boomers")</f>
        <v>Boomers</v>
      </c>
      <c r="F400" t="s">
        <v>29</v>
      </c>
      <c r="G400" t="s">
        <v>41</v>
      </c>
      <c r="H400">
        <v>106652</v>
      </c>
      <c r="I400" t="str" cm="1">
        <f t="array" ref="I400">_xlfn.IFS(H400 &lt; 30000, "Low", H400 &lt; 60000, "Medium", H400 &lt; 100000, "High", H400 &gt;= 100000, "Premium")</f>
        <v>Premium</v>
      </c>
      <c r="J400" t="s">
        <v>13</v>
      </c>
      <c r="K400" s="1">
        <v>45702</v>
      </c>
      <c r="L400">
        <f t="shared" ca="1" si="12"/>
        <v>1</v>
      </c>
      <c r="M400" t="str" cm="1">
        <f t="array" aca="1" ref="M400" ca="1">_xlfn.IFS( L400 &lt;=2, "New", L400&lt;=6, "Engaged", L400 &gt;6, "Loyal")</f>
        <v>New</v>
      </c>
      <c r="N400">
        <f t="shared" si="13"/>
        <v>2025</v>
      </c>
    </row>
    <row r="401" spans="1:14" x14ac:dyDescent="0.25">
      <c r="A401" t="s">
        <v>822</v>
      </c>
      <c r="B401" t="s">
        <v>823</v>
      </c>
      <c r="C401" t="s">
        <v>10</v>
      </c>
      <c r="D401">
        <v>71</v>
      </c>
      <c r="E401" t="str" cm="1">
        <f t="array" ref="E401">_xlfn.IFS(D401 &lt; 26, "Gen Z", D401 &lt;= 41, "Millennials", D401 &lt;= 57, "Gen X", D401 &gt;= 58, "Boomers")</f>
        <v>Boomers</v>
      </c>
      <c r="F401" t="s">
        <v>33</v>
      </c>
      <c r="G401" t="s">
        <v>36</v>
      </c>
      <c r="H401">
        <v>148267</v>
      </c>
      <c r="I401" t="str" cm="1">
        <f t="array" ref="I401">_xlfn.IFS(H401 &lt; 30000, "Low", H401 &lt; 60000, "Medium", H401 &lt; 100000, "High", H401 &gt;= 100000, "Premium")</f>
        <v>Premium</v>
      </c>
      <c r="J401" t="s">
        <v>13</v>
      </c>
      <c r="K401" s="1">
        <v>42789</v>
      </c>
      <c r="L401">
        <f t="shared" ca="1" si="12"/>
        <v>9</v>
      </c>
      <c r="M401" t="str" cm="1">
        <f t="array" aca="1" ref="M401" ca="1">_xlfn.IFS( L401 &lt;=2, "New", L401&lt;=6, "Engaged", L401 &gt;6, "Loyal")</f>
        <v>Loyal</v>
      </c>
      <c r="N401">
        <f t="shared" si="13"/>
        <v>2017</v>
      </c>
    </row>
    <row r="402" spans="1:14" x14ac:dyDescent="0.25">
      <c r="A402" t="s">
        <v>824</v>
      </c>
      <c r="B402" t="s">
        <v>825</v>
      </c>
      <c r="C402" t="s">
        <v>16</v>
      </c>
      <c r="D402">
        <v>71</v>
      </c>
      <c r="E402" t="str" cm="1">
        <f t="array" ref="E402">_xlfn.IFS(D402 &lt; 26, "Gen Z", D402 &lt;= 41, "Millennials", D402 &lt;= 57, "Gen X", D402 &gt;= 58, "Boomers")</f>
        <v>Boomers</v>
      </c>
      <c r="F402" t="s">
        <v>29</v>
      </c>
      <c r="G402" t="s">
        <v>41</v>
      </c>
      <c r="H402">
        <v>199436</v>
      </c>
      <c r="I402" t="str" cm="1">
        <f t="array" ref="I402">_xlfn.IFS(H402 &lt; 30000, "Low", H402 &lt; 60000, "Medium", H402 &lt; 100000, "High", H402 &gt;= 100000, "Premium")</f>
        <v>Premium</v>
      </c>
      <c r="J402" t="s">
        <v>23</v>
      </c>
      <c r="K402" s="1">
        <v>44100</v>
      </c>
      <c r="L402">
        <f t="shared" ca="1" si="12"/>
        <v>5</v>
      </c>
      <c r="M402" t="str" cm="1">
        <f t="array" aca="1" ref="M402" ca="1">_xlfn.IFS( L402 &lt;=2, "New", L402&lt;=6, "Engaged", L402 &gt;6, "Loyal")</f>
        <v>Engaged</v>
      </c>
      <c r="N402">
        <f t="shared" si="13"/>
        <v>2020</v>
      </c>
    </row>
    <row r="403" spans="1:14" x14ac:dyDescent="0.25">
      <c r="A403" t="s">
        <v>826</v>
      </c>
      <c r="B403" t="s">
        <v>827</v>
      </c>
      <c r="C403" t="s">
        <v>16</v>
      </c>
      <c r="D403">
        <v>20</v>
      </c>
      <c r="E403" t="str" cm="1">
        <f t="array" ref="E403">_xlfn.IFS(D403 &lt; 26, "Gen Z", D403 &lt;= 41, "Millennials", D403 &lt;= 57, "Gen X", D403 &gt;= 58, "Boomers")</f>
        <v>Gen Z</v>
      </c>
      <c r="F403" t="s">
        <v>17</v>
      </c>
      <c r="G403" t="s">
        <v>22</v>
      </c>
      <c r="H403">
        <v>146503</v>
      </c>
      <c r="I403" t="str" cm="1">
        <f t="array" ref="I403">_xlfn.IFS(H403 &lt; 30000, "Low", H403 &lt; 60000, "Medium", H403 &lt; 100000, "High", H403 &gt;= 100000, "Premium")</f>
        <v>Premium</v>
      </c>
      <c r="J403" t="s">
        <v>13</v>
      </c>
      <c r="K403" s="1">
        <v>44310</v>
      </c>
      <c r="L403">
        <f t="shared" ca="1" si="12"/>
        <v>4</v>
      </c>
      <c r="M403" t="str" cm="1">
        <f t="array" aca="1" ref="M403" ca="1">_xlfn.IFS( L403 &lt;=2, "New", L403&lt;=6, "Engaged", L403 &gt;6, "Loyal")</f>
        <v>Engaged</v>
      </c>
      <c r="N403">
        <f t="shared" si="13"/>
        <v>2021</v>
      </c>
    </row>
    <row r="404" spans="1:14" x14ac:dyDescent="0.25">
      <c r="A404" t="s">
        <v>828</v>
      </c>
      <c r="B404" t="s">
        <v>829</v>
      </c>
      <c r="C404" t="s">
        <v>10</v>
      </c>
      <c r="D404">
        <v>33</v>
      </c>
      <c r="E404" t="str" cm="1">
        <f t="array" ref="E404">_xlfn.IFS(D404 &lt; 26, "Gen Z", D404 &lt;= 41, "Millennials", D404 &lt;= 57, "Gen X", D404 &gt;= 58, "Boomers")</f>
        <v>Millennials</v>
      </c>
      <c r="F404" t="s">
        <v>11</v>
      </c>
      <c r="G404" t="s">
        <v>26</v>
      </c>
      <c r="H404">
        <v>104878</v>
      </c>
      <c r="I404" t="str" cm="1">
        <f t="array" ref="I404">_xlfn.IFS(H404 &lt; 30000, "Low", H404 &lt; 60000, "Medium", H404 &lt; 100000, "High", H404 &gt;= 100000, "Premium")</f>
        <v>Premium</v>
      </c>
      <c r="J404" t="s">
        <v>13</v>
      </c>
      <c r="K404" s="1">
        <v>43523</v>
      </c>
      <c r="L404">
        <f t="shared" ca="1" si="12"/>
        <v>7</v>
      </c>
      <c r="M404" t="str" cm="1">
        <f t="array" aca="1" ref="M404" ca="1">_xlfn.IFS( L404 &lt;=2, "New", L404&lt;=6, "Engaged", L404 &gt;6, "Loyal")</f>
        <v>Loyal</v>
      </c>
      <c r="N404">
        <f t="shared" si="13"/>
        <v>2019</v>
      </c>
    </row>
    <row r="405" spans="1:14" x14ac:dyDescent="0.25">
      <c r="A405" t="s">
        <v>830</v>
      </c>
      <c r="B405" t="s">
        <v>831</v>
      </c>
      <c r="C405" t="s">
        <v>10</v>
      </c>
      <c r="D405">
        <v>40</v>
      </c>
      <c r="E405" t="str" cm="1">
        <f t="array" ref="E405">_xlfn.IFS(D405 &lt; 26, "Gen Z", D405 &lt;= 41, "Millennials", D405 &lt;= 57, "Gen X", D405 &gt;= 58, "Boomers")</f>
        <v>Millennials</v>
      </c>
      <c r="F405" t="s">
        <v>33</v>
      </c>
      <c r="G405" t="s">
        <v>30</v>
      </c>
      <c r="H405">
        <v>77056</v>
      </c>
      <c r="I405" t="str" cm="1">
        <f t="array" ref="I405">_xlfn.IFS(H405 &lt; 30000, "Low", H405 &lt; 60000, "Medium", H405 &lt; 100000, "High", H405 &gt;= 100000, "Premium")</f>
        <v>High</v>
      </c>
      <c r="J405" t="s">
        <v>13</v>
      </c>
      <c r="K405" s="1">
        <v>44268</v>
      </c>
      <c r="L405">
        <f t="shared" ca="1" si="12"/>
        <v>5</v>
      </c>
      <c r="M405" t="str" cm="1">
        <f t="array" aca="1" ref="M405" ca="1">_xlfn.IFS( L405 &lt;=2, "New", L405&lt;=6, "Engaged", L405 &gt;6, "Loyal")</f>
        <v>Engaged</v>
      </c>
      <c r="N405">
        <f t="shared" si="13"/>
        <v>2021</v>
      </c>
    </row>
    <row r="406" spans="1:14" x14ac:dyDescent="0.25">
      <c r="A406" t="s">
        <v>832</v>
      </c>
      <c r="B406" t="s">
        <v>833</v>
      </c>
      <c r="C406" t="s">
        <v>16</v>
      </c>
      <c r="D406">
        <v>74</v>
      </c>
      <c r="E406" t="str" cm="1">
        <f t="array" ref="E406">_xlfn.IFS(D406 &lt; 26, "Gen Z", D406 &lt;= 41, "Millennials", D406 &lt;= 57, "Gen X", D406 &gt;= 58, "Boomers")</f>
        <v>Boomers</v>
      </c>
      <c r="F406" t="s">
        <v>11</v>
      </c>
      <c r="G406" t="s">
        <v>22</v>
      </c>
      <c r="H406">
        <v>178562</v>
      </c>
      <c r="I406" t="str" cm="1">
        <f t="array" ref="I406">_xlfn.IFS(H406 &lt; 30000, "Low", H406 &lt; 60000, "Medium", H406 &lt; 100000, "High", H406 &gt;= 100000, "Premium")</f>
        <v>Premium</v>
      </c>
      <c r="J406" t="s">
        <v>13</v>
      </c>
      <c r="K406" s="1">
        <v>45246</v>
      </c>
      <c r="L406">
        <f t="shared" ca="1" si="12"/>
        <v>2</v>
      </c>
      <c r="M406" t="str" cm="1">
        <f t="array" aca="1" ref="M406" ca="1">_xlfn.IFS( L406 &lt;=2, "New", L406&lt;=6, "Engaged", L406 &gt;6, "Loyal")</f>
        <v>New</v>
      </c>
      <c r="N406">
        <f t="shared" si="13"/>
        <v>2023</v>
      </c>
    </row>
    <row r="407" spans="1:14" x14ac:dyDescent="0.25">
      <c r="A407" t="s">
        <v>834</v>
      </c>
      <c r="B407" t="s">
        <v>835</v>
      </c>
      <c r="C407" t="s">
        <v>16</v>
      </c>
      <c r="D407">
        <v>28</v>
      </c>
      <c r="E407" t="str" cm="1">
        <f t="array" ref="E407">_xlfn.IFS(D407 &lt; 26, "Gen Z", D407 &lt;= 41, "Millennials", D407 &lt;= 57, "Gen X", D407 &gt;= 58, "Boomers")</f>
        <v>Millennials</v>
      </c>
      <c r="F407" t="s">
        <v>17</v>
      </c>
      <c r="G407" t="s">
        <v>41</v>
      </c>
      <c r="H407">
        <v>39975</v>
      </c>
      <c r="I407" t="str" cm="1">
        <f t="array" ref="I407">_xlfn.IFS(H407 &lt; 30000, "Low", H407 &lt; 60000, "Medium", H407 &lt; 100000, "High", H407 &gt;= 100000, "Premium")</f>
        <v>Medium</v>
      </c>
      <c r="J407" t="s">
        <v>19</v>
      </c>
      <c r="K407" s="1">
        <v>44902</v>
      </c>
      <c r="L407">
        <f t="shared" ca="1" si="12"/>
        <v>3</v>
      </c>
      <c r="M407" t="str" cm="1">
        <f t="array" aca="1" ref="M407" ca="1">_xlfn.IFS( L407 &lt;=2, "New", L407&lt;=6, "Engaged", L407 &gt;6, "Loyal")</f>
        <v>Engaged</v>
      </c>
      <c r="N407">
        <f t="shared" si="13"/>
        <v>2022</v>
      </c>
    </row>
    <row r="408" spans="1:14" x14ac:dyDescent="0.25">
      <c r="A408" t="s">
        <v>836</v>
      </c>
      <c r="B408" t="s">
        <v>837</v>
      </c>
      <c r="C408" t="s">
        <v>16</v>
      </c>
      <c r="D408">
        <v>29</v>
      </c>
      <c r="E408" t="str" cm="1">
        <f t="array" ref="E408">_xlfn.IFS(D408 &lt; 26, "Gen Z", D408 &lt;= 41, "Millennials", D408 &lt;= 57, "Gen X", D408 &gt;= 58, "Boomers")</f>
        <v>Millennials</v>
      </c>
      <c r="F408" t="s">
        <v>17</v>
      </c>
      <c r="G408" t="s">
        <v>30</v>
      </c>
      <c r="H408">
        <v>177795</v>
      </c>
      <c r="I408" t="str" cm="1">
        <f t="array" ref="I408">_xlfn.IFS(H408 &lt; 30000, "Low", H408 &lt; 60000, "Medium", H408 &lt; 100000, "High", H408 &gt;= 100000, "Premium")</f>
        <v>Premium</v>
      </c>
      <c r="J408" t="s">
        <v>23</v>
      </c>
      <c r="K408" s="1">
        <v>43097</v>
      </c>
      <c r="L408">
        <f t="shared" ca="1" si="12"/>
        <v>8</v>
      </c>
      <c r="M408" t="str" cm="1">
        <f t="array" aca="1" ref="M408" ca="1">_xlfn.IFS( L408 &lt;=2, "New", L408&lt;=6, "Engaged", L408 &gt;6, "Loyal")</f>
        <v>Loyal</v>
      </c>
      <c r="N408">
        <f t="shared" si="13"/>
        <v>2017</v>
      </c>
    </row>
    <row r="409" spans="1:14" x14ac:dyDescent="0.25">
      <c r="A409" t="s">
        <v>838</v>
      </c>
      <c r="B409" t="s">
        <v>839</v>
      </c>
      <c r="C409" t="s">
        <v>16</v>
      </c>
      <c r="D409">
        <v>27</v>
      </c>
      <c r="E409" t="str" cm="1">
        <f t="array" ref="E409">_xlfn.IFS(D409 &lt; 26, "Gen Z", D409 &lt;= 41, "Millennials", D409 &lt;= 57, "Gen X", D409 &gt;= 58, "Boomers")</f>
        <v>Millennials</v>
      </c>
      <c r="F409" t="s">
        <v>17</v>
      </c>
      <c r="G409" t="s">
        <v>41</v>
      </c>
      <c r="H409">
        <v>174351</v>
      </c>
      <c r="I409" t="str" cm="1">
        <f t="array" ref="I409">_xlfn.IFS(H409 &lt; 30000, "Low", H409 &lt; 60000, "Medium", H409 &lt; 100000, "High", H409 &gt;= 100000, "Premium")</f>
        <v>Premium</v>
      </c>
      <c r="J409" t="s">
        <v>13</v>
      </c>
      <c r="K409" s="1">
        <v>42571</v>
      </c>
      <c r="L409">
        <f t="shared" ca="1" si="12"/>
        <v>9</v>
      </c>
      <c r="M409" t="str" cm="1">
        <f t="array" aca="1" ref="M409" ca="1">_xlfn.IFS( L409 &lt;=2, "New", L409&lt;=6, "Engaged", L409 &gt;6, "Loyal")</f>
        <v>Loyal</v>
      </c>
      <c r="N409">
        <f t="shared" si="13"/>
        <v>2016</v>
      </c>
    </row>
    <row r="410" spans="1:14" x14ac:dyDescent="0.25">
      <c r="A410" t="s">
        <v>840</v>
      </c>
      <c r="B410" t="s">
        <v>841</v>
      </c>
      <c r="C410" t="s">
        <v>16</v>
      </c>
      <c r="D410">
        <v>49</v>
      </c>
      <c r="E410" t="str" cm="1">
        <f t="array" ref="E410">_xlfn.IFS(D410 &lt; 26, "Gen Z", D410 &lt;= 41, "Millennials", D410 &lt;= 57, "Gen X", D410 &gt;= 58, "Boomers")</f>
        <v>Gen X</v>
      </c>
      <c r="F410" t="s">
        <v>11</v>
      </c>
      <c r="G410" t="s">
        <v>26</v>
      </c>
      <c r="H410">
        <v>162633</v>
      </c>
      <c r="I410" t="str" cm="1">
        <f t="array" ref="I410">_xlfn.IFS(H410 &lt; 30000, "Low", H410 &lt; 60000, "Medium", H410 &lt; 100000, "High", H410 &gt;= 100000, "Premium")</f>
        <v>Premium</v>
      </c>
      <c r="J410" t="s">
        <v>13</v>
      </c>
      <c r="K410" s="1">
        <v>43721</v>
      </c>
      <c r="L410">
        <f t="shared" ca="1" si="12"/>
        <v>6</v>
      </c>
      <c r="M410" t="str" cm="1">
        <f t="array" aca="1" ref="M410" ca="1">_xlfn.IFS( L410 &lt;=2, "New", L410&lt;=6, "Engaged", L410 &gt;6, "Loyal")</f>
        <v>Engaged</v>
      </c>
      <c r="N410">
        <f t="shared" si="13"/>
        <v>2019</v>
      </c>
    </row>
    <row r="411" spans="1:14" x14ac:dyDescent="0.25">
      <c r="A411" t="s">
        <v>842</v>
      </c>
      <c r="B411" t="s">
        <v>843</v>
      </c>
      <c r="C411" t="s">
        <v>16</v>
      </c>
      <c r="D411">
        <v>33</v>
      </c>
      <c r="E411" t="str" cm="1">
        <f t="array" ref="E411">_xlfn.IFS(D411 &lt; 26, "Gen Z", D411 &lt;= 41, "Millennials", D411 &lt;= 57, "Gen X", D411 &gt;= 58, "Boomers")</f>
        <v>Millennials</v>
      </c>
      <c r="F411" t="s">
        <v>11</v>
      </c>
      <c r="G411" t="s">
        <v>41</v>
      </c>
      <c r="H411">
        <v>108397</v>
      </c>
      <c r="I411" t="str" cm="1">
        <f t="array" ref="I411">_xlfn.IFS(H411 &lt; 30000, "Low", H411 &lt; 60000, "Medium", H411 &lt; 100000, "High", H411 &gt;= 100000, "Premium")</f>
        <v>Premium</v>
      </c>
      <c r="J411" t="s">
        <v>13</v>
      </c>
      <c r="K411" s="1">
        <v>42587</v>
      </c>
      <c r="L411">
        <f t="shared" ca="1" si="12"/>
        <v>9</v>
      </c>
      <c r="M411" t="str" cm="1">
        <f t="array" aca="1" ref="M411" ca="1">_xlfn.IFS( L411 &lt;=2, "New", L411&lt;=6, "Engaged", L411 &gt;6, "Loyal")</f>
        <v>Loyal</v>
      </c>
      <c r="N411">
        <f t="shared" si="13"/>
        <v>2016</v>
      </c>
    </row>
    <row r="412" spans="1:14" x14ac:dyDescent="0.25">
      <c r="A412" t="s">
        <v>844</v>
      </c>
      <c r="B412" t="s">
        <v>845</v>
      </c>
      <c r="C412" t="s">
        <v>10</v>
      </c>
      <c r="D412">
        <v>25</v>
      </c>
      <c r="E412" t="str" cm="1">
        <f t="array" ref="E412">_xlfn.IFS(D412 &lt; 26, "Gen Z", D412 &lt;= 41, "Millennials", D412 &lt;= 57, "Gen X", D412 &gt;= 58, "Boomers")</f>
        <v>Gen Z</v>
      </c>
      <c r="F412" t="s">
        <v>11</v>
      </c>
      <c r="G412" t="s">
        <v>36</v>
      </c>
      <c r="H412">
        <v>53142</v>
      </c>
      <c r="I412" t="str" cm="1">
        <f t="array" ref="I412">_xlfn.IFS(H412 &lt; 30000, "Low", H412 &lt; 60000, "Medium", H412 &lt; 100000, "High", H412 &gt;= 100000, "Premium")</f>
        <v>Medium</v>
      </c>
      <c r="J412" t="s">
        <v>19</v>
      </c>
      <c r="K412" s="1">
        <v>43411</v>
      </c>
      <c r="L412">
        <f t="shared" ca="1" si="12"/>
        <v>7</v>
      </c>
      <c r="M412" t="str" cm="1">
        <f t="array" aca="1" ref="M412" ca="1">_xlfn.IFS( L412 &lt;=2, "New", L412&lt;=6, "Engaged", L412 &gt;6, "Loyal")</f>
        <v>Loyal</v>
      </c>
      <c r="N412">
        <f t="shared" si="13"/>
        <v>2018</v>
      </c>
    </row>
    <row r="413" spans="1:14" x14ac:dyDescent="0.25">
      <c r="A413" t="s">
        <v>846</v>
      </c>
      <c r="B413" t="s">
        <v>847</v>
      </c>
      <c r="C413" t="s">
        <v>16</v>
      </c>
      <c r="D413">
        <v>55</v>
      </c>
      <c r="E413" t="str" cm="1">
        <f t="array" ref="E413">_xlfn.IFS(D413 &lt; 26, "Gen Z", D413 &lt;= 41, "Millennials", D413 &lt;= 57, "Gen X", D413 &gt;= 58, "Boomers")</f>
        <v>Gen X</v>
      </c>
      <c r="F413" t="s">
        <v>11</v>
      </c>
      <c r="G413" t="s">
        <v>12</v>
      </c>
      <c r="H413">
        <v>46916</v>
      </c>
      <c r="I413" t="str" cm="1">
        <f t="array" ref="I413">_xlfn.IFS(H413 &lt; 30000, "Low", H413 &lt; 60000, "Medium", H413 &lt; 100000, "High", H413 &gt;= 100000, "Premium")</f>
        <v>Medium</v>
      </c>
      <c r="J413" t="s">
        <v>19</v>
      </c>
      <c r="K413" s="1">
        <v>45608</v>
      </c>
      <c r="L413">
        <f t="shared" ca="1" si="12"/>
        <v>1</v>
      </c>
      <c r="M413" t="str" cm="1">
        <f t="array" aca="1" ref="M413" ca="1">_xlfn.IFS( L413 &lt;=2, "New", L413&lt;=6, "Engaged", L413 &gt;6, "Loyal")</f>
        <v>New</v>
      </c>
      <c r="N413">
        <f t="shared" si="13"/>
        <v>2024</v>
      </c>
    </row>
    <row r="414" spans="1:14" x14ac:dyDescent="0.25">
      <c r="A414" t="s">
        <v>848</v>
      </c>
      <c r="B414" t="s">
        <v>849</v>
      </c>
      <c r="C414" t="s">
        <v>16</v>
      </c>
      <c r="D414">
        <v>29</v>
      </c>
      <c r="E414" t="str" cm="1">
        <f t="array" ref="E414">_xlfn.IFS(D414 &lt; 26, "Gen Z", D414 &lt;= 41, "Millennials", D414 &lt;= 57, "Gen X", D414 &gt;= 58, "Boomers")</f>
        <v>Millennials</v>
      </c>
      <c r="F414" t="s">
        <v>17</v>
      </c>
      <c r="G414" t="s">
        <v>22</v>
      </c>
      <c r="H414">
        <v>84324</v>
      </c>
      <c r="I414" t="str" cm="1">
        <f t="array" ref="I414">_xlfn.IFS(H414 &lt; 30000, "Low", H414 &lt; 60000, "Medium", H414 &lt; 100000, "High", H414 &gt;= 100000, "Premium")</f>
        <v>High</v>
      </c>
      <c r="J414" t="s">
        <v>13</v>
      </c>
      <c r="K414" s="1">
        <v>44965</v>
      </c>
      <c r="L414">
        <f t="shared" ca="1" si="12"/>
        <v>3</v>
      </c>
      <c r="M414" t="str" cm="1">
        <f t="array" aca="1" ref="M414" ca="1">_xlfn.IFS( L414 &lt;=2, "New", L414&lt;=6, "Engaged", L414 &gt;6, "Loyal")</f>
        <v>Engaged</v>
      </c>
      <c r="N414">
        <f t="shared" si="13"/>
        <v>2023</v>
      </c>
    </row>
    <row r="415" spans="1:14" x14ac:dyDescent="0.25">
      <c r="A415" t="s">
        <v>850</v>
      </c>
      <c r="B415" t="s">
        <v>851</v>
      </c>
      <c r="C415" t="s">
        <v>10</v>
      </c>
      <c r="D415">
        <v>41</v>
      </c>
      <c r="E415" t="str" cm="1">
        <f t="array" ref="E415">_xlfn.IFS(D415 &lt; 26, "Gen Z", D415 &lt;= 41, "Millennials", D415 &lt;= 57, "Gen X", D415 &gt;= 58, "Boomers")</f>
        <v>Millennials</v>
      </c>
      <c r="F415" t="s">
        <v>17</v>
      </c>
      <c r="G415" t="s">
        <v>12</v>
      </c>
      <c r="H415">
        <v>196037</v>
      </c>
      <c r="I415" t="str" cm="1">
        <f t="array" ref="I415">_xlfn.IFS(H415 &lt; 30000, "Low", H415 &lt; 60000, "Medium", H415 &lt; 100000, "High", H415 &gt;= 100000, "Premium")</f>
        <v>Premium</v>
      </c>
      <c r="J415" t="s">
        <v>19</v>
      </c>
      <c r="K415" s="1">
        <v>42457</v>
      </c>
      <c r="L415">
        <f t="shared" ca="1" si="12"/>
        <v>10</v>
      </c>
      <c r="M415" t="str" cm="1">
        <f t="array" aca="1" ref="M415" ca="1">_xlfn.IFS( L415 &lt;=2, "New", L415&lt;=6, "Engaged", L415 &gt;6, "Loyal")</f>
        <v>Loyal</v>
      </c>
      <c r="N415">
        <f t="shared" si="13"/>
        <v>2016</v>
      </c>
    </row>
    <row r="416" spans="1:14" x14ac:dyDescent="0.25">
      <c r="A416" t="s">
        <v>852</v>
      </c>
      <c r="B416" t="s">
        <v>853</v>
      </c>
      <c r="C416" t="s">
        <v>10</v>
      </c>
      <c r="D416">
        <v>45</v>
      </c>
      <c r="E416" t="str" cm="1">
        <f t="array" ref="E416">_xlfn.IFS(D416 &lt; 26, "Gen Z", D416 &lt;= 41, "Millennials", D416 &lt;= 57, "Gen X", D416 &gt;= 58, "Boomers")</f>
        <v>Gen X</v>
      </c>
      <c r="F416" t="s">
        <v>33</v>
      </c>
      <c r="G416" t="s">
        <v>41</v>
      </c>
      <c r="H416">
        <v>145932</v>
      </c>
      <c r="I416" t="str" cm="1">
        <f t="array" ref="I416">_xlfn.IFS(H416 &lt; 30000, "Low", H416 &lt; 60000, "Medium", H416 &lt; 100000, "High", H416 &gt;= 100000, "Premium")</f>
        <v>Premium</v>
      </c>
      <c r="J416" t="s">
        <v>19</v>
      </c>
      <c r="K416" s="1">
        <v>45884</v>
      </c>
      <c r="L416">
        <f t="shared" ca="1" si="12"/>
        <v>0</v>
      </c>
      <c r="M416" t="str" cm="1">
        <f t="array" aca="1" ref="M416" ca="1">_xlfn.IFS( L416 &lt;=2, "New", L416&lt;=6, "Engaged", L416 &gt;6, "Loyal")</f>
        <v>New</v>
      </c>
      <c r="N416">
        <f t="shared" si="13"/>
        <v>2025</v>
      </c>
    </row>
    <row r="417" spans="1:14" x14ac:dyDescent="0.25">
      <c r="A417" t="s">
        <v>854</v>
      </c>
      <c r="B417" t="s">
        <v>855</v>
      </c>
      <c r="C417" t="s">
        <v>10</v>
      </c>
      <c r="D417">
        <v>70</v>
      </c>
      <c r="E417" t="str" cm="1">
        <f t="array" ref="E417">_xlfn.IFS(D417 &lt; 26, "Gen Z", D417 &lt;= 41, "Millennials", D417 &lt;= 57, "Gen X", D417 &gt;= 58, "Boomers")</f>
        <v>Boomers</v>
      </c>
      <c r="F417" t="s">
        <v>33</v>
      </c>
      <c r="G417" t="s">
        <v>26</v>
      </c>
      <c r="H417">
        <v>155720</v>
      </c>
      <c r="I417" t="str" cm="1">
        <f t="array" ref="I417">_xlfn.IFS(H417 &lt; 30000, "Low", H417 &lt; 60000, "Medium", H417 &lt; 100000, "High", H417 &gt;= 100000, "Premium")</f>
        <v>Premium</v>
      </c>
      <c r="J417" t="s">
        <v>19</v>
      </c>
      <c r="K417" s="1">
        <v>43022</v>
      </c>
      <c r="L417">
        <f t="shared" ca="1" si="12"/>
        <v>8</v>
      </c>
      <c r="M417" t="str" cm="1">
        <f t="array" aca="1" ref="M417" ca="1">_xlfn.IFS( L417 &lt;=2, "New", L417&lt;=6, "Engaged", L417 &gt;6, "Loyal")</f>
        <v>Loyal</v>
      </c>
      <c r="N417">
        <f t="shared" si="13"/>
        <v>2017</v>
      </c>
    </row>
    <row r="418" spans="1:14" x14ac:dyDescent="0.25">
      <c r="A418" t="s">
        <v>856</v>
      </c>
      <c r="B418" t="s">
        <v>857</v>
      </c>
      <c r="C418" t="s">
        <v>10</v>
      </c>
      <c r="D418">
        <v>25</v>
      </c>
      <c r="E418" t="str" cm="1">
        <f t="array" ref="E418">_xlfn.IFS(D418 &lt; 26, "Gen Z", D418 &lt;= 41, "Millennials", D418 &lt;= 57, "Gen X", D418 &gt;= 58, "Boomers")</f>
        <v>Gen Z</v>
      </c>
      <c r="F418" t="s">
        <v>11</v>
      </c>
      <c r="G418" t="s">
        <v>22</v>
      </c>
      <c r="H418">
        <v>186205</v>
      </c>
      <c r="I418" t="str" cm="1">
        <f t="array" ref="I418">_xlfn.IFS(H418 &lt; 30000, "Low", H418 &lt; 60000, "Medium", H418 &lt; 100000, "High", H418 &gt;= 100000, "Premium")</f>
        <v>Premium</v>
      </c>
      <c r="J418" t="s">
        <v>23</v>
      </c>
      <c r="K418" s="1">
        <v>45595</v>
      </c>
      <c r="L418">
        <f t="shared" ca="1" si="12"/>
        <v>1</v>
      </c>
      <c r="M418" t="str" cm="1">
        <f t="array" aca="1" ref="M418" ca="1">_xlfn.IFS( L418 &lt;=2, "New", L418&lt;=6, "Engaged", L418 &gt;6, "Loyal")</f>
        <v>New</v>
      </c>
      <c r="N418">
        <f t="shared" si="13"/>
        <v>2024</v>
      </c>
    </row>
    <row r="419" spans="1:14" x14ac:dyDescent="0.25">
      <c r="A419" t="s">
        <v>858</v>
      </c>
      <c r="B419" t="s">
        <v>859</v>
      </c>
      <c r="C419" t="s">
        <v>16</v>
      </c>
      <c r="D419">
        <v>45</v>
      </c>
      <c r="E419" t="str" cm="1">
        <f t="array" ref="E419">_xlfn.IFS(D419 &lt; 26, "Gen Z", D419 &lt;= 41, "Millennials", D419 &lt;= 57, "Gen X", D419 &gt;= 58, "Boomers")</f>
        <v>Gen X</v>
      </c>
      <c r="F419" t="s">
        <v>29</v>
      </c>
      <c r="G419" t="s">
        <v>41</v>
      </c>
      <c r="H419">
        <v>116059</v>
      </c>
      <c r="I419" t="str" cm="1">
        <f t="array" ref="I419">_xlfn.IFS(H419 &lt; 30000, "Low", H419 &lt; 60000, "Medium", H419 &lt; 100000, "High", H419 &gt;= 100000, "Premium")</f>
        <v>Premium</v>
      </c>
      <c r="J419" t="s">
        <v>13</v>
      </c>
      <c r="K419" s="1">
        <v>43432</v>
      </c>
      <c r="L419">
        <f t="shared" ca="1" si="12"/>
        <v>7</v>
      </c>
      <c r="M419" t="str" cm="1">
        <f t="array" aca="1" ref="M419" ca="1">_xlfn.IFS( L419 &lt;=2, "New", L419&lt;=6, "Engaged", L419 &gt;6, "Loyal")</f>
        <v>Loyal</v>
      </c>
      <c r="N419">
        <f t="shared" si="13"/>
        <v>2018</v>
      </c>
    </row>
    <row r="420" spans="1:14" x14ac:dyDescent="0.25">
      <c r="A420" t="s">
        <v>860</v>
      </c>
      <c r="B420" t="s">
        <v>861</v>
      </c>
      <c r="C420" t="s">
        <v>16</v>
      </c>
      <c r="D420">
        <v>53</v>
      </c>
      <c r="E420" t="str" cm="1">
        <f t="array" ref="E420">_xlfn.IFS(D420 &lt; 26, "Gen Z", D420 &lt;= 41, "Millennials", D420 &lt;= 57, "Gen X", D420 &gt;= 58, "Boomers")</f>
        <v>Gen X</v>
      </c>
      <c r="F420" t="s">
        <v>29</v>
      </c>
      <c r="G420" t="s">
        <v>30</v>
      </c>
      <c r="H420">
        <v>118317</v>
      </c>
      <c r="I420" t="str" cm="1">
        <f t="array" ref="I420">_xlfn.IFS(H420 &lt; 30000, "Low", H420 &lt; 60000, "Medium", H420 &lt; 100000, "High", H420 &gt;= 100000, "Premium")</f>
        <v>Premium</v>
      </c>
      <c r="J420" t="s">
        <v>19</v>
      </c>
      <c r="K420" s="1">
        <v>42802</v>
      </c>
      <c r="L420">
        <f t="shared" ca="1" si="12"/>
        <v>9</v>
      </c>
      <c r="M420" t="str" cm="1">
        <f t="array" aca="1" ref="M420" ca="1">_xlfn.IFS( L420 &lt;=2, "New", L420&lt;=6, "Engaged", L420 &gt;6, "Loyal")</f>
        <v>Loyal</v>
      </c>
      <c r="N420">
        <f t="shared" si="13"/>
        <v>2017</v>
      </c>
    </row>
    <row r="421" spans="1:14" x14ac:dyDescent="0.25">
      <c r="A421" t="s">
        <v>862</v>
      </c>
      <c r="B421" t="s">
        <v>863</v>
      </c>
      <c r="C421" t="s">
        <v>16</v>
      </c>
      <c r="D421">
        <v>43</v>
      </c>
      <c r="E421" t="str" cm="1">
        <f t="array" ref="E421">_xlfn.IFS(D421 &lt; 26, "Gen Z", D421 &lt;= 41, "Millennials", D421 &lt;= 57, "Gen X", D421 &gt;= 58, "Boomers")</f>
        <v>Gen X</v>
      </c>
      <c r="F421" t="s">
        <v>17</v>
      </c>
      <c r="G421" t="s">
        <v>18</v>
      </c>
      <c r="H421">
        <v>55046</v>
      </c>
      <c r="I421" t="str" cm="1">
        <f t="array" ref="I421">_xlfn.IFS(H421 &lt; 30000, "Low", H421 &lt; 60000, "Medium", H421 &lt; 100000, "High", H421 &gt;= 100000, "Premium")</f>
        <v>Medium</v>
      </c>
      <c r="J421" t="s">
        <v>13</v>
      </c>
      <c r="K421" s="1">
        <v>44313</v>
      </c>
      <c r="L421">
        <f t="shared" ca="1" si="12"/>
        <v>4</v>
      </c>
      <c r="M421" t="str" cm="1">
        <f t="array" aca="1" ref="M421" ca="1">_xlfn.IFS( L421 &lt;=2, "New", L421&lt;=6, "Engaged", L421 &gt;6, "Loyal")</f>
        <v>Engaged</v>
      </c>
      <c r="N421">
        <f t="shared" si="13"/>
        <v>2021</v>
      </c>
    </row>
    <row r="422" spans="1:14" x14ac:dyDescent="0.25">
      <c r="A422" t="s">
        <v>864</v>
      </c>
      <c r="B422" t="s">
        <v>865</v>
      </c>
      <c r="C422" t="s">
        <v>16</v>
      </c>
      <c r="D422">
        <v>25</v>
      </c>
      <c r="E422" t="str" cm="1">
        <f t="array" ref="E422">_xlfn.IFS(D422 &lt; 26, "Gen Z", D422 &lt;= 41, "Millennials", D422 &lt;= 57, "Gen X", D422 &gt;= 58, "Boomers")</f>
        <v>Gen Z</v>
      </c>
      <c r="F422" t="s">
        <v>17</v>
      </c>
      <c r="G422" t="s">
        <v>41</v>
      </c>
      <c r="H422">
        <v>198136</v>
      </c>
      <c r="I422" t="str" cm="1">
        <f t="array" ref="I422">_xlfn.IFS(H422 &lt; 30000, "Low", H422 &lt; 60000, "Medium", H422 &lt; 100000, "High", H422 &gt;= 100000, "Premium")</f>
        <v>Premium</v>
      </c>
      <c r="J422" t="s">
        <v>19</v>
      </c>
      <c r="K422" s="1">
        <v>42565</v>
      </c>
      <c r="L422">
        <f t="shared" ca="1" si="12"/>
        <v>9</v>
      </c>
      <c r="M422" t="str" cm="1">
        <f t="array" aca="1" ref="M422" ca="1">_xlfn.IFS( L422 &lt;=2, "New", L422&lt;=6, "Engaged", L422 &gt;6, "Loyal")</f>
        <v>Loyal</v>
      </c>
      <c r="N422">
        <f t="shared" si="13"/>
        <v>2016</v>
      </c>
    </row>
    <row r="423" spans="1:14" x14ac:dyDescent="0.25">
      <c r="A423" t="s">
        <v>866</v>
      </c>
      <c r="B423" t="s">
        <v>867</v>
      </c>
      <c r="C423" t="s">
        <v>16</v>
      </c>
      <c r="D423">
        <v>67</v>
      </c>
      <c r="E423" t="str" cm="1">
        <f t="array" ref="E423">_xlfn.IFS(D423 &lt; 26, "Gen Z", D423 &lt;= 41, "Millennials", D423 &lt;= 57, "Gen X", D423 &gt;= 58, "Boomers")</f>
        <v>Boomers</v>
      </c>
      <c r="F423" t="s">
        <v>17</v>
      </c>
      <c r="G423" t="s">
        <v>12</v>
      </c>
      <c r="H423">
        <v>121459</v>
      </c>
      <c r="I423" t="str" cm="1">
        <f t="array" ref="I423">_xlfn.IFS(H423 &lt; 30000, "Low", H423 &lt; 60000, "Medium", H423 &lt; 100000, "High", H423 &gt;= 100000, "Premium")</f>
        <v>Premium</v>
      </c>
      <c r="J423" t="s">
        <v>19</v>
      </c>
      <c r="K423" s="1">
        <v>44523</v>
      </c>
      <c r="L423">
        <f t="shared" ca="1" si="12"/>
        <v>4</v>
      </c>
      <c r="M423" t="str" cm="1">
        <f t="array" aca="1" ref="M423" ca="1">_xlfn.IFS( L423 &lt;=2, "New", L423&lt;=6, "Engaged", L423 &gt;6, "Loyal")</f>
        <v>Engaged</v>
      </c>
      <c r="N423">
        <f t="shared" si="13"/>
        <v>2021</v>
      </c>
    </row>
    <row r="424" spans="1:14" x14ac:dyDescent="0.25">
      <c r="A424" t="s">
        <v>868</v>
      </c>
      <c r="B424" t="s">
        <v>869</v>
      </c>
      <c r="C424" t="s">
        <v>16</v>
      </c>
      <c r="D424">
        <v>45</v>
      </c>
      <c r="E424" t="str" cm="1">
        <f t="array" ref="E424">_xlfn.IFS(D424 &lt; 26, "Gen Z", D424 &lt;= 41, "Millennials", D424 &lt;= 57, "Gen X", D424 &gt;= 58, "Boomers")</f>
        <v>Gen X</v>
      </c>
      <c r="F424" t="s">
        <v>33</v>
      </c>
      <c r="G424" t="s">
        <v>22</v>
      </c>
      <c r="H424">
        <v>65893</v>
      </c>
      <c r="I424" t="str" cm="1">
        <f t="array" ref="I424">_xlfn.IFS(H424 &lt; 30000, "Low", H424 &lt; 60000, "Medium", H424 &lt; 100000, "High", H424 &gt;= 100000, "Premium")</f>
        <v>High</v>
      </c>
      <c r="J424" t="s">
        <v>19</v>
      </c>
      <c r="K424" s="1">
        <v>44513</v>
      </c>
      <c r="L424">
        <f t="shared" ca="1" si="12"/>
        <v>4</v>
      </c>
      <c r="M424" t="str" cm="1">
        <f t="array" aca="1" ref="M424" ca="1">_xlfn.IFS( L424 &lt;=2, "New", L424&lt;=6, "Engaged", L424 &gt;6, "Loyal")</f>
        <v>Engaged</v>
      </c>
      <c r="N424">
        <f t="shared" si="13"/>
        <v>2021</v>
      </c>
    </row>
    <row r="425" spans="1:14" x14ac:dyDescent="0.25">
      <c r="A425" t="s">
        <v>870</v>
      </c>
      <c r="B425" t="s">
        <v>869</v>
      </c>
      <c r="C425" t="s">
        <v>10</v>
      </c>
      <c r="D425">
        <v>45</v>
      </c>
      <c r="E425" t="str" cm="1">
        <f t="array" ref="E425">_xlfn.IFS(D425 &lt; 26, "Gen Z", D425 &lt;= 41, "Millennials", D425 &lt;= 57, "Gen X", D425 &gt;= 58, "Boomers")</f>
        <v>Gen X</v>
      </c>
      <c r="F425" t="s">
        <v>33</v>
      </c>
      <c r="G425" t="s">
        <v>12</v>
      </c>
      <c r="H425">
        <v>121520</v>
      </c>
      <c r="I425" t="str" cm="1">
        <f t="array" ref="I425">_xlfn.IFS(H425 &lt; 30000, "Low", H425 &lt; 60000, "Medium", H425 &lt; 100000, "High", H425 &gt;= 100000, "Premium")</f>
        <v>Premium</v>
      </c>
      <c r="J425" t="s">
        <v>19</v>
      </c>
      <c r="K425" s="1">
        <v>44111</v>
      </c>
      <c r="L425">
        <f t="shared" ca="1" si="12"/>
        <v>5</v>
      </c>
      <c r="M425" t="str" cm="1">
        <f t="array" aca="1" ref="M425" ca="1">_xlfn.IFS( L425 &lt;=2, "New", L425&lt;=6, "Engaged", L425 &gt;6, "Loyal")</f>
        <v>Engaged</v>
      </c>
      <c r="N425">
        <f t="shared" si="13"/>
        <v>2020</v>
      </c>
    </row>
    <row r="426" spans="1:14" x14ac:dyDescent="0.25">
      <c r="A426" t="s">
        <v>871</v>
      </c>
      <c r="B426" t="s">
        <v>872</v>
      </c>
      <c r="C426" t="s">
        <v>16</v>
      </c>
      <c r="D426">
        <v>54</v>
      </c>
      <c r="E426" t="str" cm="1">
        <f t="array" ref="E426">_xlfn.IFS(D426 &lt; 26, "Gen Z", D426 &lt;= 41, "Millennials", D426 &lt;= 57, "Gen X", D426 &gt;= 58, "Boomers")</f>
        <v>Gen X</v>
      </c>
      <c r="F426" t="s">
        <v>17</v>
      </c>
      <c r="G426" t="s">
        <v>22</v>
      </c>
      <c r="H426">
        <v>145818</v>
      </c>
      <c r="I426" t="str" cm="1">
        <f t="array" ref="I426">_xlfn.IFS(H426 &lt; 30000, "Low", H426 &lt; 60000, "Medium", H426 &lt; 100000, "High", H426 &gt;= 100000, "Premium")</f>
        <v>Premium</v>
      </c>
      <c r="J426" t="s">
        <v>13</v>
      </c>
      <c r="K426" s="1">
        <v>42917</v>
      </c>
      <c r="L426">
        <f t="shared" ca="1" si="12"/>
        <v>8</v>
      </c>
      <c r="M426" t="str" cm="1">
        <f t="array" aca="1" ref="M426" ca="1">_xlfn.IFS( L426 &lt;=2, "New", L426&lt;=6, "Engaged", L426 &gt;6, "Loyal")</f>
        <v>Loyal</v>
      </c>
      <c r="N426">
        <f t="shared" si="13"/>
        <v>2017</v>
      </c>
    </row>
    <row r="427" spans="1:14" x14ac:dyDescent="0.25">
      <c r="A427" t="s">
        <v>873</v>
      </c>
      <c r="B427" t="s">
        <v>874</v>
      </c>
      <c r="C427" t="s">
        <v>10</v>
      </c>
      <c r="D427">
        <v>58</v>
      </c>
      <c r="E427" t="str" cm="1">
        <f t="array" ref="E427">_xlfn.IFS(D427 &lt; 26, "Gen Z", D427 &lt;= 41, "Millennials", D427 &lt;= 57, "Gen X", D427 &gt;= 58, "Boomers")</f>
        <v>Boomers</v>
      </c>
      <c r="F427" t="s">
        <v>17</v>
      </c>
      <c r="G427" t="s">
        <v>41</v>
      </c>
      <c r="H427">
        <v>81272</v>
      </c>
      <c r="I427" t="str" cm="1">
        <f t="array" ref="I427">_xlfn.IFS(H427 &lt; 30000, "Low", H427 &lt; 60000, "Medium", H427 &lt; 100000, "High", H427 &gt;= 100000, "Premium")</f>
        <v>High</v>
      </c>
      <c r="J427" t="s">
        <v>13</v>
      </c>
      <c r="K427" s="1">
        <v>42747</v>
      </c>
      <c r="L427">
        <f t="shared" ca="1" si="12"/>
        <v>9</v>
      </c>
      <c r="M427" t="str" cm="1">
        <f t="array" aca="1" ref="M427" ca="1">_xlfn.IFS( L427 &lt;=2, "New", L427&lt;=6, "Engaged", L427 &gt;6, "Loyal")</f>
        <v>Loyal</v>
      </c>
      <c r="N427">
        <f t="shared" si="13"/>
        <v>2017</v>
      </c>
    </row>
    <row r="428" spans="1:14" x14ac:dyDescent="0.25">
      <c r="A428" t="s">
        <v>875</v>
      </c>
      <c r="B428" t="s">
        <v>876</v>
      </c>
      <c r="C428" t="s">
        <v>10</v>
      </c>
      <c r="D428">
        <v>53</v>
      </c>
      <c r="E428" t="str" cm="1">
        <f t="array" ref="E428">_xlfn.IFS(D428 &lt; 26, "Gen Z", D428 &lt;= 41, "Millennials", D428 &lt;= 57, "Gen X", D428 &gt;= 58, "Boomers")</f>
        <v>Gen X</v>
      </c>
      <c r="F428" t="s">
        <v>17</v>
      </c>
      <c r="G428" t="s">
        <v>36</v>
      </c>
      <c r="H428">
        <v>87649</v>
      </c>
      <c r="I428" t="str" cm="1">
        <f t="array" ref="I428">_xlfn.IFS(H428 &lt; 30000, "Low", H428 &lt; 60000, "Medium", H428 &lt; 100000, "High", H428 &gt;= 100000, "Premium")</f>
        <v>High</v>
      </c>
      <c r="J428" t="s">
        <v>23</v>
      </c>
      <c r="K428" s="1">
        <v>45052</v>
      </c>
      <c r="L428">
        <f t="shared" ca="1" si="12"/>
        <v>2</v>
      </c>
      <c r="M428" t="str" cm="1">
        <f t="array" aca="1" ref="M428" ca="1">_xlfn.IFS( L428 &lt;=2, "New", L428&lt;=6, "Engaged", L428 &gt;6, "Loyal")</f>
        <v>New</v>
      </c>
      <c r="N428">
        <f t="shared" si="13"/>
        <v>2023</v>
      </c>
    </row>
    <row r="429" spans="1:14" x14ac:dyDescent="0.25">
      <c r="A429" t="s">
        <v>877</v>
      </c>
      <c r="B429" t="s">
        <v>878</v>
      </c>
      <c r="C429" t="s">
        <v>16</v>
      </c>
      <c r="D429">
        <v>44</v>
      </c>
      <c r="E429" t="str" cm="1">
        <f t="array" ref="E429">_xlfn.IFS(D429 &lt; 26, "Gen Z", D429 &lt;= 41, "Millennials", D429 &lt;= 57, "Gen X", D429 &gt;= 58, "Boomers")</f>
        <v>Gen X</v>
      </c>
      <c r="F429" t="s">
        <v>29</v>
      </c>
      <c r="G429" t="s">
        <v>30</v>
      </c>
      <c r="H429">
        <v>84674</v>
      </c>
      <c r="I429" t="str" cm="1">
        <f t="array" ref="I429">_xlfn.IFS(H429 &lt; 30000, "Low", H429 &lt; 60000, "Medium", H429 &lt; 100000, "High", H429 &gt;= 100000, "Premium")</f>
        <v>High</v>
      </c>
      <c r="J429" t="s">
        <v>23</v>
      </c>
      <c r="K429" s="1">
        <v>43617</v>
      </c>
      <c r="L429">
        <f t="shared" ca="1" si="12"/>
        <v>6</v>
      </c>
      <c r="M429" t="str" cm="1">
        <f t="array" aca="1" ref="M429" ca="1">_xlfn.IFS( L429 &lt;=2, "New", L429&lt;=6, "Engaged", L429 &gt;6, "Loyal")</f>
        <v>Engaged</v>
      </c>
      <c r="N429">
        <f t="shared" si="13"/>
        <v>2019</v>
      </c>
    </row>
    <row r="430" spans="1:14" x14ac:dyDescent="0.25">
      <c r="A430" t="s">
        <v>879</v>
      </c>
      <c r="B430" t="s">
        <v>880</v>
      </c>
      <c r="C430" t="s">
        <v>10</v>
      </c>
      <c r="D430">
        <v>71</v>
      </c>
      <c r="E430" t="str" cm="1">
        <f t="array" ref="E430">_xlfn.IFS(D430 &lt; 26, "Gen Z", D430 &lt;= 41, "Millennials", D430 &lt;= 57, "Gen X", D430 &gt;= 58, "Boomers")</f>
        <v>Boomers</v>
      </c>
      <c r="F430" t="s">
        <v>33</v>
      </c>
      <c r="G430" t="s">
        <v>41</v>
      </c>
      <c r="H430">
        <v>164832</v>
      </c>
      <c r="I430" t="str" cm="1">
        <f t="array" ref="I430">_xlfn.IFS(H430 &lt; 30000, "Low", H430 &lt; 60000, "Medium", H430 &lt; 100000, "High", H430 &gt;= 100000, "Premium")</f>
        <v>Premium</v>
      </c>
      <c r="J430" t="s">
        <v>13</v>
      </c>
      <c r="K430" s="1">
        <v>42971</v>
      </c>
      <c r="L430">
        <f t="shared" ca="1" si="12"/>
        <v>8</v>
      </c>
      <c r="M430" t="str" cm="1">
        <f t="array" aca="1" ref="M430" ca="1">_xlfn.IFS( L430 &lt;=2, "New", L430&lt;=6, "Engaged", L430 &gt;6, "Loyal")</f>
        <v>Loyal</v>
      </c>
      <c r="N430">
        <f t="shared" si="13"/>
        <v>2017</v>
      </c>
    </row>
    <row r="431" spans="1:14" x14ac:dyDescent="0.25">
      <c r="A431" t="s">
        <v>881</v>
      </c>
      <c r="B431" t="s">
        <v>882</v>
      </c>
      <c r="C431" t="s">
        <v>16</v>
      </c>
      <c r="D431">
        <v>34</v>
      </c>
      <c r="E431" t="str" cm="1">
        <f t="array" ref="E431">_xlfn.IFS(D431 &lt; 26, "Gen Z", D431 &lt;= 41, "Millennials", D431 &lt;= 57, "Gen X", D431 &gt;= 58, "Boomers")</f>
        <v>Millennials</v>
      </c>
      <c r="F431" t="s">
        <v>29</v>
      </c>
      <c r="G431" t="s">
        <v>12</v>
      </c>
      <c r="H431">
        <v>172999</v>
      </c>
      <c r="I431" t="str" cm="1">
        <f t="array" ref="I431">_xlfn.IFS(H431 &lt; 30000, "Low", H431 &lt; 60000, "Medium", H431 &lt; 100000, "High", H431 &gt;= 100000, "Premium")</f>
        <v>Premium</v>
      </c>
      <c r="J431" t="s">
        <v>13</v>
      </c>
      <c r="K431" s="1">
        <v>42894</v>
      </c>
      <c r="L431">
        <f t="shared" ca="1" si="12"/>
        <v>8</v>
      </c>
      <c r="M431" t="str" cm="1">
        <f t="array" aca="1" ref="M431" ca="1">_xlfn.IFS( L431 &lt;=2, "New", L431&lt;=6, "Engaged", L431 &gt;6, "Loyal")</f>
        <v>Loyal</v>
      </c>
      <c r="N431">
        <f t="shared" si="13"/>
        <v>2017</v>
      </c>
    </row>
    <row r="432" spans="1:14" x14ac:dyDescent="0.25">
      <c r="A432" t="s">
        <v>883</v>
      </c>
      <c r="B432" t="s">
        <v>884</v>
      </c>
      <c r="C432" t="s">
        <v>10</v>
      </c>
      <c r="D432">
        <v>26</v>
      </c>
      <c r="E432" t="str" cm="1">
        <f t="array" ref="E432">_xlfn.IFS(D432 &lt; 26, "Gen Z", D432 &lt;= 41, "Millennials", D432 &lt;= 57, "Gen X", D432 &gt;= 58, "Boomers")</f>
        <v>Millennials</v>
      </c>
      <c r="F432" t="s">
        <v>29</v>
      </c>
      <c r="G432" t="s">
        <v>18</v>
      </c>
      <c r="H432">
        <v>106475</v>
      </c>
      <c r="I432" t="str" cm="1">
        <f t="array" ref="I432">_xlfn.IFS(H432 &lt; 30000, "Low", H432 &lt; 60000, "Medium", H432 &lt; 100000, "High", H432 &gt;= 100000, "Premium")</f>
        <v>Premium</v>
      </c>
      <c r="J432" t="s">
        <v>13</v>
      </c>
      <c r="K432" s="1">
        <v>45133</v>
      </c>
      <c r="L432">
        <f t="shared" ca="1" si="12"/>
        <v>2</v>
      </c>
      <c r="M432" t="str" cm="1">
        <f t="array" aca="1" ref="M432" ca="1">_xlfn.IFS( L432 &lt;=2, "New", L432&lt;=6, "Engaged", L432 &gt;6, "Loyal")</f>
        <v>New</v>
      </c>
      <c r="N432">
        <f t="shared" si="13"/>
        <v>2023</v>
      </c>
    </row>
    <row r="433" spans="1:14" x14ac:dyDescent="0.25">
      <c r="A433" t="s">
        <v>885</v>
      </c>
      <c r="B433" t="s">
        <v>886</v>
      </c>
      <c r="C433" t="s">
        <v>16</v>
      </c>
      <c r="D433">
        <v>50</v>
      </c>
      <c r="E433" t="str" cm="1">
        <f t="array" ref="E433">_xlfn.IFS(D433 &lt; 26, "Gen Z", D433 &lt;= 41, "Millennials", D433 &lt;= 57, "Gen X", D433 &gt;= 58, "Boomers")</f>
        <v>Gen X</v>
      </c>
      <c r="F433" t="s">
        <v>17</v>
      </c>
      <c r="G433" t="s">
        <v>18</v>
      </c>
      <c r="H433">
        <v>81367</v>
      </c>
      <c r="I433" t="str" cm="1">
        <f t="array" ref="I433">_xlfn.IFS(H433 &lt; 30000, "Low", H433 &lt; 60000, "Medium", H433 &lt; 100000, "High", H433 &gt;= 100000, "Premium")</f>
        <v>High</v>
      </c>
      <c r="J433" t="s">
        <v>19</v>
      </c>
      <c r="K433" s="1">
        <v>42887</v>
      </c>
      <c r="L433">
        <f t="shared" ca="1" si="12"/>
        <v>8</v>
      </c>
      <c r="M433" t="str" cm="1">
        <f t="array" aca="1" ref="M433" ca="1">_xlfn.IFS( L433 &lt;=2, "New", L433&lt;=6, "Engaged", L433 &gt;6, "Loyal")</f>
        <v>Loyal</v>
      </c>
      <c r="N433">
        <f t="shared" si="13"/>
        <v>2017</v>
      </c>
    </row>
    <row r="434" spans="1:14" x14ac:dyDescent="0.25">
      <c r="A434" t="s">
        <v>887</v>
      </c>
      <c r="B434" t="s">
        <v>888</v>
      </c>
      <c r="C434" t="s">
        <v>10</v>
      </c>
      <c r="D434">
        <v>70</v>
      </c>
      <c r="E434" t="str" cm="1">
        <f t="array" ref="E434">_xlfn.IFS(D434 &lt; 26, "Gen Z", D434 &lt;= 41, "Millennials", D434 &lt;= 57, "Gen X", D434 &gt;= 58, "Boomers")</f>
        <v>Boomers</v>
      </c>
      <c r="F434" t="s">
        <v>17</v>
      </c>
      <c r="G434" t="s">
        <v>26</v>
      </c>
      <c r="H434">
        <v>163660</v>
      </c>
      <c r="I434" t="str" cm="1">
        <f t="array" ref="I434">_xlfn.IFS(H434 &lt; 30000, "Low", H434 &lt; 60000, "Medium", H434 &lt; 100000, "High", H434 &gt;= 100000, "Premium")</f>
        <v>Premium</v>
      </c>
      <c r="J434" t="s">
        <v>19</v>
      </c>
      <c r="K434" s="1">
        <v>43774</v>
      </c>
      <c r="L434">
        <f t="shared" ca="1" si="12"/>
        <v>6</v>
      </c>
      <c r="M434" t="str" cm="1">
        <f t="array" aca="1" ref="M434" ca="1">_xlfn.IFS( L434 &lt;=2, "New", L434&lt;=6, "Engaged", L434 &gt;6, "Loyal")</f>
        <v>Engaged</v>
      </c>
      <c r="N434">
        <f t="shared" si="13"/>
        <v>2019</v>
      </c>
    </row>
    <row r="435" spans="1:14" x14ac:dyDescent="0.25">
      <c r="A435" t="s">
        <v>889</v>
      </c>
      <c r="B435" t="s">
        <v>890</v>
      </c>
      <c r="C435" t="s">
        <v>16</v>
      </c>
      <c r="D435">
        <v>37</v>
      </c>
      <c r="E435" t="str" cm="1">
        <f t="array" ref="E435">_xlfn.IFS(D435 &lt; 26, "Gen Z", D435 &lt;= 41, "Millennials", D435 &lt;= 57, "Gen X", D435 &gt;= 58, "Boomers")</f>
        <v>Millennials</v>
      </c>
      <c r="F435" t="s">
        <v>11</v>
      </c>
      <c r="G435" t="s">
        <v>22</v>
      </c>
      <c r="H435">
        <v>141750</v>
      </c>
      <c r="I435" t="str" cm="1">
        <f t="array" ref="I435">_xlfn.IFS(H435 &lt; 30000, "Low", H435 &lt; 60000, "Medium", H435 &lt; 100000, "High", H435 &gt;= 100000, "Premium")</f>
        <v>Premium</v>
      </c>
      <c r="J435" t="s">
        <v>13</v>
      </c>
      <c r="K435" s="1">
        <v>43599</v>
      </c>
      <c r="L435">
        <f t="shared" ca="1" si="12"/>
        <v>6</v>
      </c>
      <c r="M435" t="str" cm="1">
        <f t="array" aca="1" ref="M435" ca="1">_xlfn.IFS( L435 &lt;=2, "New", L435&lt;=6, "Engaged", L435 &gt;6, "Loyal")</f>
        <v>Engaged</v>
      </c>
      <c r="N435">
        <f t="shared" si="13"/>
        <v>2019</v>
      </c>
    </row>
    <row r="436" spans="1:14" x14ac:dyDescent="0.25">
      <c r="A436" t="s">
        <v>891</v>
      </c>
      <c r="B436" t="s">
        <v>892</v>
      </c>
      <c r="C436" t="s">
        <v>16</v>
      </c>
      <c r="D436">
        <v>30</v>
      </c>
      <c r="E436" t="str" cm="1">
        <f t="array" ref="E436">_xlfn.IFS(D436 &lt; 26, "Gen Z", D436 &lt;= 41, "Millennials", D436 &lt;= 57, "Gen X", D436 &gt;= 58, "Boomers")</f>
        <v>Millennials</v>
      </c>
      <c r="F436" t="s">
        <v>11</v>
      </c>
      <c r="G436" t="s">
        <v>12</v>
      </c>
      <c r="H436">
        <v>138154</v>
      </c>
      <c r="I436" t="str" cm="1">
        <f t="array" ref="I436">_xlfn.IFS(H436 &lt; 30000, "Low", H436 &lt; 60000, "Medium", H436 &lt; 100000, "High", H436 &gt;= 100000, "Premium")</f>
        <v>Premium</v>
      </c>
      <c r="J436" t="s">
        <v>13</v>
      </c>
      <c r="K436" s="1">
        <v>44896</v>
      </c>
      <c r="L436">
        <f t="shared" ca="1" si="12"/>
        <v>3</v>
      </c>
      <c r="M436" t="str" cm="1">
        <f t="array" aca="1" ref="M436" ca="1">_xlfn.IFS( L436 &lt;=2, "New", L436&lt;=6, "Engaged", L436 &gt;6, "Loyal")</f>
        <v>Engaged</v>
      </c>
      <c r="N436">
        <f t="shared" si="13"/>
        <v>2022</v>
      </c>
    </row>
    <row r="437" spans="1:14" x14ac:dyDescent="0.25">
      <c r="A437" t="s">
        <v>893</v>
      </c>
      <c r="B437" t="s">
        <v>894</v>
      </c>
      <c r="C437" t="s">
        <v>16</v>
      </c>
      <c r="D437">
        <v>45</v>
      </c>
      <c r="E437" t="str" cm="1">
        <f t="array" ref="E437">_xlfn.IFS(D437 &lt; 26, "Gen Z", D437 &lt;= 41, "Millennials", D437 &lt;= 57, "Gen X", D437 &gt;= 58, "Boomers")</f>
        <v>Gen X</v>
      </c>
      <c r="F437" t="s">
        <v>29</v>
      </c>
      <c r="G437" t="s">
        <v>26</v>
      </c>
      <c r="H437">
        <v>64738</v>
      </c>
      <c r="I437" t="str" cm="1">
        <f t="array" ref="I437">_xlfn.IFS(H437 &lt; 30000, "Low", H437 &lt; 60000, "Medium", H437 &lt; 100000, "High", H437 &gt;= 100000, "Premium")</f>
        <v>High</v>
      </c>
      <c r="J437" t="s">
        <v>19</v>
      </c>
      <c r="K437" s="1">
        <v>43760</v>
      </c>
      <c r="L437">
        <f t="shared" ca="1" si="12"/>
        <v>6</v>
      </c>
      <c r="M437" t="str" cm="1">
        <f t="array" aca="1" ref="M437" ca="1">_xlfn.IFS( L437 &lt;=2, "New", L437&lt;=6, "Engaged", L437 &gt;6, "Loyal")</f>
        <v>Engaged</v>
      </c>
      <c r="N437">
        <f t="shared" si="13"/>
        <v>2019</v>
      </c>
    </row>
    <row r="438" spans="1:14" x14ac:dyDescent="0.25">
      <c r="A438" t="s">
        <v>895</v>
      </c>
      <c r="B438" t="s">
        <v>896</v>
      </c>
      <c r="C438" t="s">
        <v>16</v>
      </c>
      <c r="D438">
        <v>65</v>
      </c>
      <c r="E438" t="str" cm="1">
        <f t="array" ref="E438">_xlfn.IFS(D438 &lt; 26, "Gen Z", D438 &lt;= 41, "Millennials", D438 &lt;= 57, "Gen X", D438 &gt;= 58, "Boomers")</f>
        <v>Boomers</v>
      </c>
      <c r="F438" t="s">
        <v>33</v>
      </c>
      <c r="G438" t="s">
        <v>12</v>
      </c>
      <c r="H438">
        <v>53397</v>
      </c>
      <c r="I438" t="str" cm="1">
        <f t="array" ref="I438">_xlfn.IFS(H438 &lt; 30000, "Low", H438 &lt; 60000, "Medium", H438 &lt; 100000, "High", H438 &gt;= 100000, "Premium")</f>
        <v>Medium</v>
      </c>
      <c r="J438" t="s">
        <v>19</v>
      </c>
      <c r="K438" s="1">
        <v>45281</v>
      </c>
      <c r="L438">
        <f t="shared" ca="1" si="12"/>
        <v>2</v>
      </c>
      <c r="M438" t="str" cm="1">
        <f t="array" aca="1" ref="M438" ca="1">_xlfn.IFS( L438 &lt;=2, "New", L438&lt;=6, "Engaged", L438 &gt;6, "Loyal")</f>
        <v>New</v>
      </c>
      <c r="N438">
        <f t="shared" si="13"/>
        <v>2023</v>
      </c>
    </row>
    <row r="439" spans="1:14" x14ac:dyDescent="0.25">
      <c r="A439" t="s">
        <v>897</v>
      </c>
      <c r="B439" t="s">
        <v>898</v>
      </c>
      <c r="C439" t="s">
        <v>16</v>
      </c>
      <c r="D439">
        <v>46</v>
      </c>
      <c r="E439" t="str" cm="1">
        <f t="array" ref="E439">_xlfn.IFS(D439 &lt; 26, "Gen Z", D439 &lt;= 41, "Millennials", D439 &lt;= 57, "Gen X", D439 &gt;= 58, "Boomers")</f>
        <v>Gen X</v>
      </c>
      <c r="F439" t="s">
        <v>17</v>
      </c>
      <c r="G439" t="s">
        <v>22</v>
      </c>
      <c r="H439">
        <v>102189</v>
      </c>
      <c r="I439" t="str" cm="1">
        <f t="array" ref="I439">_xlfn.IFS(H439 &lt; 30000, "Low", H439 &lt; 60000, "Medium", H439 &lt; 100000, "High", H439 &gt;= 100000, "Premium")</f>
        <v>Premium</v>
      </c>
      <c r="J439" t="s">
        <v>13</v>
      </c>
      <c r="K439" s="1">
        <v>45037</v>
      </c>
      <c r="L439">
        <f t="shared" ca="1" si="12"/>
        <v>3</v>
      </c>
      <c r="M439" t="str" cm="1">
        <f t="array" aca="1" ref="M439" ca="1">_xlfn.IFS( L439 &lt;=2, "New", L439&lt;=6, "Engaged", L439 &gt;6, "Loyal")</f>
        <v>Engaged</v>
      </c>
      <c r="N439">
        <f t="shared" si="13"/>
        <v>2023</v>
      </c>
    </row>
    <row r="440" spans="1:14" x14ac:dyDescent="0.25">
      <c r="A440" t="s">
        <v>899</v>
      </c>
      <c r="B440" t="s">
        <v>900</v>
      </c>
      <c r="C440" t="s">
        <v>10</v>
      </c>
      <c r="D440">
        <v>30</v>
      </c>
      <c r="E440" t="str" cm="1">
        <f t="array" ref="E440">_xlfn.IFS(D440 &lt; 26, "Gen Z", D440 &lt;= 41, "Millennials", D440 &lt;= 57, "Gen X", D440 &gt;= 58, "Boomers")</f>
        <v>Millennials</v>
      </c>
      <c r="F440" t="s">
        <v>17</v>
      </c>
      <c r="G440" t="s">
        <v>41</v>
      </c>
      <c r="H440">
        <v>96367</v>
      </c>
      <c r="I440" t="str" cm="1">
        <f t="array" ref="I440">_xlfn.IFS(H440 &lt; 30000, "Low", H440 &lt; 60000, "Medium", H440 &lt; 100000, "High", H440 &gt;= 100000, "Premium")</f>
        <v>High</v>
      </c>
      <c r="J440" t="s">
        <v>13</v>
      </c>
      <c r="K440" s="1">
        <v>45328</v>
      </c>
      <c r="L440">
        <f t="shared" ca="1" si="12"/>
        <v>2</v>
      </c>
      <c r="M440" t="str" cm="1">
        <f t="array" aca="1" ref="M440" ca="1">_xlfn.IFS( L440 &lt;=2, "New", L440&lt;=6, "Engaged", L440 &gt;6, "Loyal")</f>
        <v>New</v>
      </c>
      <c r="N440">
        <f t="shared" si="13"/>
        <v>2024</v>
      </c>
    </row>
    <row r="441" spans="1:14" x14ac:dyDescent="0.25">
      <c r="A441" t="s">
        <v>901</v>
      </c>
      <c r="B441" t="s">
        <v>902</v>
      </c>
      <c r="C441" t="s">
        <v>10</v>
      </c>
      <c r="D441">
        <v>63</v>
      </c>
      <c r="E441" t="str" cm="1">
        <f t="array" ref="E441">_xlfn.IFS(D441 &lt; 26, "Gen Z", D441 &lt;= 41, "Millennials", D441 &lt;= 57, "Gen X", D441 &gt;= 58, "Boomers")</f>
        <v>Boomers</v>
      </c>
      <c r="F441" t="s">
        <v>29</v>
      </c>
      <c r="G441" t="s">
        <v>41</v>
      </c>
      <c r="H441">
        <v>140585</v>
      </c>
      <c r="I441" t="str" cm="1">
        <f t="array" ref="I441">_xlfn.IFS(H441 &lt; 30000, "Low", H441 &lt; 60000, "Medium", H441 &lt; 100000, "High", H441 &gt;= 100000, "Premium")</f>
        <v>Premium</v>
      </c>
      <c r="J441" t="s">
        <v>13</v>
      </c>
      <c r="K441" s="1">
        <v>43274</v>
      </c>
      <c r="L441">
        <f t="shared" ca="1" si="12"/>
        <v>7</v>
      </c>
      <c r="M441" t="str" cm="1">
        <f t="array" aca="1" ref="M441" ca="1">_xlfn.IFS( L441 &lt;=2, "New", L441&lt;=6, "Engaged", L441 &gt;6, "Loyal")</f>
        <v>Loyal</v>
      </c>
      <c r="N441">
        <f t="shared" si="13"/>
        <v>2018</v>
      </c>
    </row>
    <row r="442" spans="1:14" x14ac:dyDescent="0.25">
      <c r="A442" t="s">
        <v>903</v>
      </c>
      <c r="B442" t="s">
        <v>904</v>
      </c>
      <c r="C442" t="s">
        <v>10</v>
      </c>
      <c r="D442">
        <v>52</v>
      </c>
      <c r="E442" t="str" cm="1">
        <f t="array" ref="E442">_xlfn.IFS(D442 &lt; 26, "Gen Z", D442 &lt;= 41, "Millennials", D442 &lt;= 57, "Gen X", D442 &gt;= 58, "Boomers")</f>
        <v>Gen X</v>
      </c>
      <c r="F442" t="s">
        <v>11</v>
      </c>
      <c r="G442" t="s">
        <v>18</v>
      </c>
      <c r="H442">
        <v>96619</v>
      </c>
      <c r="I442" t="str" cm="1">
        <f t="array" ref="I442">_xlfn.IFS(H442 &lt; 30000, "Low", H442 &lt; 60000, "Medium", H442 &lt; 100000, "High", H442 &gt;= 100000, "Premium")</f>
        <v>High</v>
      </c>
      <c r="J442" t="s">
        <v>13</v>
      </c>
      <c r="K442" s="1">
        <v>44964</v>
      </c>
      <c r="L442">
        <f t="shared" ca="1" si="12"/>
        <v>3</v>
      </c>
      <c r="M442" t="str" cm="1">
        <f t="array" aca="1" ref="M442" ca="1">_xlfn.IFS( L442 &lt;=2, "New", L442&lt;=6, "Engaged", L442 &gt;6, "Loyal")</f>
        <v>Engaged</v>
      </c>
      <c r="N442">
        <f t="shared" si="13"/>
        <v>2023</v>
      </c>
    </row>
    <row r="443" spans="1:14" x14ac:dyDescent="0.25">
      <c r="A443" t="s">
        <v>905</v>
      </c>
      <c r="B443" t="s">
        <v>906</v>
      </c>
      <c r="C443" t="s">
        <v>16</v>
      </c>
      <c r="D443">
        <v>23</v>
      </c>
      <c r="E443" t="str" cm="1">
        <f t="array" ref="E443">_xlfn.IFS(D443 &lt; 26, "Gen Z", D443 &lt;= 41, "Millennials", D443 &lt;= 57, "Gen X", D443 &gt;= 58, "Boomers")</f>
        <v>Gen Z</v>
      </c>
      <c r="F443" t="s">
        <v>33</v>
      </c>
      <c r="G443" t="s">
        <v>41</v>
      </c>
      <c r="H443">
        <v>131453</v>
      </c>
      <c r="I443" t="str" cm="1">
        <f t="array" ref="I443">_xlfn.IFS(H443 &lt; 30000, "Low", H443 &lt; 60000, "Medium", H443 &lt; 100000, "High", H443 &gt;= 100000, "Premium")</f>
        <v>Premium</v>
      </c>
      <c r="J443" t="s">
        <v>13</v>
      </c>
      <c r="K443" s="1">
        <v>44692</v>
      </c>
      <c r="L443">
        <f t="shared" ca="1" si="12"/>
        <v>3</v>
      </c>
      <c r="M443" t="str" cm="1">
        <f t="array" aca="1" ref="M443" ca="1">_xlfn.IFS( L443 &lt;=2, "New", L443&lt;=6, "Engaged", L443 &gt;6, "Loyal")</f>
        <v>Engaged</v>
      </c>
      <c r="N443">
        <f t="shared" si="13"/>
        <v>2022</v>
      </c>
    </row>
    <row r="444" spans="1:14" x14ac:dyDescent="0.25">
      <c r="A444" t="s">
        <v>907</v>
      </c>
      <c r="B444" t="s">
        <v>908</v>
      </c>
      <c r="C444" t="s">
        <v>10</v>
      </c>
      <c r="D444">
        <v>35</v>
      </c>
      <c r="E444" t="str" cm="1">
        <f t="array" ref="E444">_xlfn.IFS(D444 &lt; 26, "Gen Z", D444 &lt;= 41, "Millennials", D444 &lt;= 57, "Gen X", D444 &gt;= 58, "Boomers")</f>
        <v>Millennials</v>
      </c>
      <c r="F444" t="s">
        <v>11</v>
      </c>
      <c r="G444" t="s">
        <v>41</v>
      </c>
      <c r="H444">
        <v>39816</v>
      </c>
      <c r="I444" t="str" cm="1">
        <f t="array" ref="I444">_xlfn.IFS(H444 &lt; 30000, "Low", H444 &lt; 60000, "Medium", H444 &lt; 100000, "High", H444 &gt;= 100000, "Premium")</f>
        <v>Medium</v>
      </c>
      <c r="J444" t="s">
        <v>19</v>
      </c>
      <c r="K444" s="1">
        <v>43285</v>
      </c>
      <c r="L444">
        <f t="shared" ca="1" si="12"/>
        <v>7</v>
      </c>
      <c r="M444" t="str" cm="1">
        <f t="array" aca="1" ref="M444" ca="1">_xlfn.IFS( L444 &lt;=2, "New", L444&lt;=6, "Engaged", L444 &gt;6, "Loyal")</f>
        <v>Loyal</v>
      </c>
      <c r="N444">
        <f t="shared" si="13"/>
        <v>2018</v>
      </c>
    </row>
    <row r="445" spans="1:14" x14ac:dyDescent="0.25">
      <c r="A445" t="s">
        <v>909</v>
      </c>
      <c r="B445" t="s">
        <v>910</v>
      </c>
      <c r="C445" t="s">
        <v>16</v>
      </c>
      <c r="D445">
        <v>68</v>
      </c>
      <c r="E445" t="str" cm="1">
        <f t="array" ref="E445">_xlfn.IFS(D445 &lt; 26, "Gen Z", D445 &lt;= 41, "Millennials", D445 &lt;= 57, "Gen X", D445 &gt;= 58, "Boomers")</f>
        <v>Boomers</v>
      </c>
      <c r="F445" t="s">
        <v>11</v>
      </c>
      <c r="G445" t="s">
        <v>36</v>
      </c>
      <c r="H445">
        <v>193312</v>
      </c>
      <c r="I445" t="str" cm="1">
        <f t="array" ref="I445">_xlfn.IFS(H445 &lt; 30000, "Low", H445 &lt; 60000, "Medium", H445 &lt; 100000, "High", H445 &gt;= 100000, "Premium")</f>
        <v>Premium</v>
      </c>
      <c r="J445" t="s">
        <v>19</v>
      </c>
      <c r="K445" s="1">
        <v>43074</v>
      </c>
      <c r="L445">
        <f t="shared" ca="1" si="12"/>
        <v>8</v>
      </c>
      <c r="M445" t="str" cm="1">
        <f t="array" aca="1" ref="M445" ca="1">_xlfn.IFS( L445 &lt;=2, "New", L445&lt;=6, "Engaged", L445 &gt;6, "Loyal")</f>
        <v>Loyal</v>
      </c>
      <c r="N445">
        <f t="shared" si="13"/>
        <v>2017</v>
      </c>
    </row>
    <row r="446" spans="1:14" x14ac:dyDescent="0.25">
      <c r="A446" t="s">
        <v>911</v>
      </c>
      <c r="B446" t="s">
        <v>912</v>
      </c>
      <c r="C446" t="s">
        <v>16</v>
      </c>
      <c r="D446">
        <v>22</v>
      </c>
      <c r="E446" t="str" cm="1">
        <f t="array" ref="E446">_xlfn.IFS(D446 &lt; 26, "Gen Z", D446 &lt;= 41, "Millennials", D446 &lt;= 57, "Gen X", D446 &gt;= 58, "Boomers")</f>
        <v>Gen Z</v>
      </c>
      <c r="F446" t="s">
        <v>11</v>
      </c>
      <c r="G446" t="s">
        <v>18</v>
      </c>
      <c r="H446">
        <v>157348</v>
      </c>
      <c r="I446" t="str" cm="1">
        <f t="array" ref="I446">_xlfn.IFS(H446 &lt; 30000, "Low", H446 &lt; 60000, "Medium", H446 &lt; 100000, "High", H446 &gt;= 100000, "Premium")</f>
        <v>Premium</v>
      </c>
      <c r="J446" t="s">
        <v>19</v>
      </c>
      <c r="K446" s="1">
        <v>44666</v>
      </c>
      <c r="L446">
        <f t="shared" ca="1" si="12"/>
        <v>4</v>
      </c>
      <c r="M446" t="str" cm="1">
        <f t="array" aca="1" ref="M446" ca="1">_xlfn.IFS( L446 &lt;=2, "New", L446&lt;=6, "Engaged", L446 &gt;6, "Loyal")</f>
        <v>Engaged</v>
      </c>
      <c r="N446">
        <f t="shared" si="13"/>
        <v>2022</v>
      </c>
    </row>
    <row r="447" spans="1:14" x14ac:dyDescent="0.25">
      <c r="A447" t="s">
        <v>913</v>
      </c>
      <c r="B447" t="s">
        <v>914</v>
      </c>
      <c r="C447" t="s">
        <v>10</v>
      </c>
      <c r="D447">
        <v>64</v>
      </c>
      <c r="E447" t="str" cm="1">
        <f t="array" ref="E447">_xlfn.IFS(D447 &lt; 26, "Gen Z", D447 &lt;= 41, "Millennials", D447 &lt;= 57, "Gen X", D447 &gt;= 58, "Boomers")</f>
        <v>Boomers</v>
      </c>
      <c r="F447" t="s">
        <v>11</v>
      </c>
      <c r="G447" t="s">
        <v>26</v>
      </c>
      <c r="H447">
        <v>99530</v>
      </c>
      <c r="I447" t="str" cm="1">
        <f t="array" ref="I447">_xlfn.IFS(H447 &lt; 30000, "Low", H447 &lt; 60000, "Medium", H447 &lt; 100000, "High", H447 &gt;= 100000, "Premium")</f>
        <v>High</v>
      </c>
      <c r="J447" t="s">
        <v>19</v>
      </c>
      <c r="K447" s="1">
        <v>44459</v>
      </c>
      <c r="L447">
        <f t="shared" ca="1" si="12"/>
        <v>4</v>
      </c>
      <c r="M447" t="str" cm="1">
        <f t="array" aca="1" ref="M447" ca="1">_xlfn.IFS( L447 &lt;=2, "New", L447&lt;=6, "Engaged", L447 &gt;6, "Loyal")</f>
        <v>Engaged</v>
      </c>
      <c r="N447">
        <f t="shared" si="13"/>
        <v>2021</v>
      </c>
    </row>
    <row r="448" spans="1:14" x14ac:dyDescent="0.25">
      <c r="A448" t="s">
        <v>915</v>
      </c>
      <c r="B448" t="s">
        <v>916</v>
      </c>
      <c r="C448" t="s">
        <v>10</v>
      </c>
      <c r="D448">
        <v>42</v>
      </c>
      <c r="E448" t="str" cm="1">
        <f t="array" ref="E448">_xlfn.IFS(D448 &lt; 26, "Gen Z", D448 &lt;= 41, "Millennials", D448 &lt;= 57, "Gen X", D448 &gt;= 58, "Boomers")</f>
        <v>Gen X</v>
      </c>
      <c r="F448" t="s">
        <v>17</v>
      </c>
      <c r="G448" t="s">
        <v>30</v>
      </c>
      <c r="H448">
        <v>174571</v>
      </c>
      <c r="I448" t="str" cm="1">
        <f t="array" ref="I448">_xlfn.IFS(H448 &lt; 30000, "Low", H448 &lt; 60000, "Medium", H448 &lt; 100000, "High", H448 &gt;= 100000, "Premium")</f>
        <v>Premium</v>
      </c>
      <c r="J448" t="s">
        <v>13</v>
      </c>
      <c r="K448" s="1">
        <v>44994</v>
      </c>
      <c r="L448">
        <f t="shared" ca="1" si="12"/>
        <v>3</v>
      </c>
      <c r="M448" t="str" cm="1">
        <f t="array" aca="1" ref="M448" ca="1">_xlfn.IFS( L448 &lt;=2, "New", L448&lt;=6, "Engaged", L448 &gt;6, "Loyal")</f>
        <v>Engaged</v>
      </c>
      <c r="N448">
        <f t="shared" si="13"/>
        <v>2023</v>
      </c>
    </row>
    <row r="449" spans="1:14" x14ac:dyDescent="0.25">
      <c r="A449" t="s">
        <v>917</v>
      </c>
      <c r="B449" t="s">
        <v>918</v>
      </c>
      <c r="C449" t="s">
        <v>16</v>
      </c>
      <c r="D449">
        <v>19</v>
      </c>
      <c r="E449" t="str" cm="1">
        <f t="array" ref="E449">_xlfn.IFS(D449 &lt; 26, "Gen Z", D449 &lt;= 41, "Millennials", D449 &lt;= 57, "Gen X", D449 &gt;= 58, "Boomers")</f>
        <v>Gen Z</v>
      </c>
      <c r="F449" t="s">
        <v>17</v>
      </c>
      <c r="G449" t="s">
        <v>36</v>
      </c>
      <c r="H449">
        <v>128856</v>
      </c>
      <c r="I449" t="str" cm="1">
        <f t="array" ref="I449">_xlfn.IFS(H449 &lt; 30000, "Low", H449 &lt; 60000, "Medium", H449 &lt; 100000, "High", H449 &gt;= 100000, "Premium")</f>
        <v>Premium</v>
      </c>
      <c r="J449" t="s">
        <v>13</v>
      </c>
      <c r="K449" s="1">
        <v>44493</v>
      </c>
      <c r="L449">
        <f t="shared" ca="1" si="12"/>
        <v>4</v>
      </c>
      <c r="M449" t="str" cm="1">
        <f t="array" aca="1" ref="M449" ca="1">_xlfn.IFS( L449 &lt;=2, "New", L449&lt;=6, "Engaged", L449 &gt;6, "Loyal")</f>
        <v>Engaged</v>
      </c>
      <c r="N449">
        <f t="shared" si="13"/>
        <v>2021</v>
      </c>
    </row>
    <row r="450" spans="1:14" x14ac:dyDescent="0.25">
      <c r="A450" t="s">
        <v>919</v>
      </c>
      <c r="B450" t="s">
        <v>920</v>
      </c>
      <c r="C450" t="s">
        <v>10</v>
      </c>
      <c r="D450">
        <v>27</v>
      </c>
      <c r="E450" t="str" cm="1">
        <f t="array" ref="E450">_xlfn.IFS(D450 &lt; 26, "Gen Z", D450 &lt;= 41, "Millennials", D450 &lt;= 57, "Gen X", D450 &gt;= 58, "Boomers")</f>
        <v>Millennials</v>
      </c>
      <c r="F450" t="s">
        <v>11</v>
      </c>
      <c r="G450" t="s">
        <v>26</v>
      </c>
      <c r="H450">
        <v>91635</v>
      </c>
      <c r="I450" t="str" cm="1">
        <f t="array" ref="I450">_xlfn.IFS(H450 &lt; 30000, "Low", H450 &lt; 60000, "Medium", H450 &lt; 100000, "High", H450 &gt;= 100000, "Premium")</f>
        <v>High</v>
      </c>
      <c r="J450" t="s">
        <v>13</v>
      </c>
      <c r="K450" s="1">
        <v>44032</v>
      </c>
      <c r="L450">
        <f t="shared" ref="L450:L501" ca="1" si="14">DATEDIF(K450, TODAY(), "Y")</f>
        <v>5</v>
      </c>
      <c r="M450" t="str" cm="1">
        <f t="array" aca="1" ref="M450" ca="1">_xlfn.IFS( L450 &lt;=2, "New", L450&lt;=6, "Engaged", L450 &gt;6, "Loyal")</f>
        <v>Engaged</v>
      </c>
      <c r="N450">
        <f t="shared" ref="N450:N501" si="15">YEAR(K450)</f>
        <v>2020</v>
      </c>
    </row>
    <row r="451" spans="1:14" x14ac:dyDescent="0.25">
      <c r="A451" t="s">
        <v>921</v>
      </c>
      <c r="B451" t="s">
        <v>922</v>
      </c>
      <c r="C451" t="s">
        <v>16</v>
      </c>
      <c r="D451">
        <v>73</v>
      </c>
      <c r="E451" t="str" cm="1">
        <f t="array" ref="E451">_xlfn.IFS(D451 &lt; 26, "Gen Z", D451 &lt;= 41, "Millennials", D451 &lt;= 57, "Gen X", D451 &gt;= 58, "Boomers")</f>
        <v>Boomers</v>
      </c>
      <c r="F451" t="s">
        <v>33</v>
      </c>
      <c r="G451" t="s">
        <v>22</v>
      </c>
      <c r="H451">
        <v>127803</v>
      </c>
      <c r="I451" t="str" cm="1">
        <f t="array" ref="I451">_xlfn.IFS(H451 &lt; 30000, "Low", H451 &lt; 60000, "Medium", H451 &lt; 100000, "High", H451 &gt;= 100000, "Premium")</f>
        <v>Premium</v>
      </c>
      <c r="J451" t="s">
        <v>13</v>
      </c>
      <c r="K451" s="1">
        <v>45486</v>
      </c>
      <c r="L451">
        <f t="shared" ca="1" si="14"/>
        <v>1</v>
      </c>
      <c r="M451" t="str" cm="1">
        <f t="array" aca="1" ref="M451" ca="1">_xlfn.IFS( L451 &lt;=2, "New", L451&lt;=6, "Engaged", L451 &gt;6, "Loyal")</f>
        <v>New</v>
      </c>
      <c r="N451">
        <f t="shared" si="15"/>
        <v>2024</v>
      </c>
    </row>
    <row r="452" spans="1:14" x14ac:dyDescent="0.25">
      <c r="A452" t="s">
        <v>923</v>
      </c>
      <c r="B452" t="s">
        <v>924</v>
      </c>
      <c r="C452" t="s">
        <v>16</v>
      </c>
      <c r="D452">
        <v>47</v>
      </c>
      <c r="E452" t="str" cm="1">
        <f t="array" ref="E452">_xlfn.IFS(D452 &lt; 26, "Gen Z", D452 &lt;= 41, "Millennials", D452 &lt;= 57, "Gen X", D452 &gt;= 58, "Boomers")</f>
        <v>Gen X</v>
      </c>
      <c r="F452" t="s">
        <v>29</v>
      </c>
      <c r="G452" t="s">
        <v>36</v>
      </c>
      <c r="H452">
        <v>55946</v>
      </c>
      <c r="I452" t="str" cm="1">
        <f t="array" ref="I452">_xlfn.IFS(H452 &lt; 30000, "Low", H452 &lt; 60000, "Medium", H452 &lt; 100000, "High", H452 &gt;= 100000, "Premium")</f>
        <v>Medium</v>
      </c>
      <c r="J452" t="s">
        <v>19</v>
      </c>
      <c r="K452" s="1">
        <v>42580</v>
      </c>
      <c r="L452">
        <f t="shared" ca="1" si="14"/>
        <v>9</v>
      </c>
      <c r="M452" t="str" cm="1">
        <f t="array" aca="1" ref="M452" ca="1">_xlfn.IFS( L452 &lt;=2, "New", L452&lt;=6, "Engaged", L452 &gt;6, "Loyal")</f>
        <v>Loyal</v>
      </c>
      <c r="N452">
        <f t="shared" si="15"/>
        <v>2016</v>
      </c>
    </row>
    <row r="453" spans="1:14" x14ac:dyDescent="0.25">
      <c r="A453" t="s">
        <v>925</v>
      </c>
      <c r="B453" t="s">
        <v>926</v>
      </c>
      <c r="C453" t="s">
        <v>16</v>
      </c>
      <c r="D453">
        <v>67</v>
      </c>
      <c r="E453" t="str" cm="1">
        <f t="array" ref="E453">_xlfn.IFS(D453 &lt; 26, "Gen Z", D453 &lt;= 41, "Millennials", D453 &lt;= 57, "Gen X", D453 &gt;= 58, "Boomers")</f>
        <v>Boomers</v>
      </c>
      <c r="F453" t="s">
        <v>33</v>
      </c>
      <c r="G453" t="s">
        <v>26</v>
      </c>
      <c r="H453">
        <v>75204</v>
      </c>
      <c r="I453" t="str" cm="1">
        <f t="array" ref="I453">_xlfn.IFS(H453 &lt; 30000, "Low", H453 &lt; 60000, "Medium", H453 &lt; 100000, "High", H453 &gt;= 100000, "Premium")</f>
        <v>High</v>
      </c>
      <c r="J453" t="s">
        <v>23</v>
      </c>
      <c r="K453" s="1">
        <v>45412</v>
      </c>
      <c r="L453">
        <f t="shared" ca="1" si="14"/>
        <v>1</v>
      </c>
      <c r="M453" t="str" cm="1">
        <f t="array" aca="1" ref="M453" ca="1">_xlfn.IFS( L453 &lt;=2, "New", L453&lt;=6, "Engaged", L453 &gt;6, "Loyal")</f>
        <v>New</v>
      </c>
      <c r="N453">
        <f t="shared" si="15"/>
        <v>2024</v>
      </c>
    </row>
    <row r="454" spans="1:14" x14ac:dyDescent="0.25">
      <c r="A454" t="s">
        <v>927</v>
      </c>
      <c r="B454" t="s">
        <v>928</v>
      </c>
      <c r="C454" t="s">
        <v>16</v>
      </c>
      <c r="D454">
        <v>62</v>
      </c>
      <c r="E454" t="str" cm="1">
        <f t="array" ref="E454">_xlfn.IFS(D454 &lt; 26, "Gen Z", D454 &lt;= 41, "Millennials", D454 &lt;= 57, "Gen X", D454 &gt;= 58, "Boomers")</f>
        <v>Boomers</v>
      </c>
      <c r="F454" t="s">
        <v>33</v>
      </c>
      <c r="G454" t="s">
        <v>22</v>
      </c>
      <c r="H454">
        <v>35563</v>
      </c>
      <c r="I454" t="str" cm="1">
        <f t="array" ref="I454">_xlfn.IFS(H454 &lt; 30000, "Low", H454 &lt; 60000, "Medium", H454 &lt; 100000, "High", H454 &gt;= 100000, "Premium")</f>
        <v>Medium</v>
      </c>
      <c r="J454" t="s">
        <v>13</v>
      </c>
      <c r="K454" s="1">
        <v>43669</v>
      </c>
      <c r="L454">
        <f t="shared" ca="1" si="14"/>
        <v>6</v>
      </c>
      <c r="M454" t="str" cm="1">
        <f t="array" aca="1" ref="M454" ca="1">_xlfn.IFS( L454 &lt;=2, "New", L454&lt;=6, "Engaged", L454 &gt;6, "Loyal")</f>
        <v>Engaged</v>
      </c>
      <c r="N454">
        <f t="shared" si="15"/>
        <v>2019</v>
      </c>
    </row>
    <row r="455" spans="1:14" x14ac:dyDescent="0.25">
      <c r="A455" t="s">
        <v>929</v>
      </c>
      <c r="B455" t="s">
        <v>930</v>
      </c>
      <c r="C455" t="s">
        <v>16</v>
      </c>
      <c r="D455">
        <v>22</v>
      </c>
      <c r="E455" t="str" cm="1">
        <f t="array" ref="E455">_xlfn.IFS(D455 &lt; 26, "Gen Z", D455 &lt;= 41, "Millennials", D455 &lt;= 57, "Gen X", D455 &gt;= 58, "Boomers")</f>
        <v>Gen Z</v>
      </c>
      <c r="F455" t="s">
        <v>33</v>
      </c>
      <c r="G455" t="s">
        <v>18</v>
      </c>
      <c r="H455">
        <v>112324</v>
      </c>
      <c r="I455" t="str" cm="1">
        <f t="array" ref="I455">_xlfn.IFS(H455 &lt; 30000, "Low", H455 &lt; 60000, "Medium", H455 &lt; 100000, "High", H455 &gt;= 100000, "Premium")</f>
        <v>Premium</v>
      </c>
      <c r="J455" t="s">
        <v>13</v>
      </c>
      <c r="K455" s="1">
        <v>43074</v>
      </c>
      <c r="L455">
        <f t="shared" ca="1" si="14"/>
        <v>8</v>
      </c>
      <c r="M455" t="str" cm="1">
        <f t="array" aca="1" ref="M455" ca="1">_xlfn.IFS( L455 &lt;=2, "New", L455&lt;=6, "Engaged", L455 &gt;6, "Loyal")</f>
        <v>Loyal</v>
      </c>
      <c r="N455">
        <f t="shared" si="15"/>
        <v>2017</v>
      </c>
    </row>
    <row r="456" spans="1:14" x14ac:dyDescent="0.25">
      <c r="A456" t="s">
        <v>931</v>
      </c>
      <c r="B456" t="s">
        <v>932</v>
      </c>
      <c r="C456" t="s">
        <v>10</v>
      </c>
      <c r="D456">
        <v>72</v>
      </c>
      <c r="E456" t="str" cm="1">
        <f t="array" ref="E456">_xlfn.IFS(D456 &lt; 26, "Gen Z", D456 &lt;= 41, "Millennials", D456 &lt;= 57, "Gen X", D456 &gt;= 58, "Boomers")</f>
        <v>Boomers</v>
      </c>
      <c r="F456" t="s">
        <v>11</v>
      </c>
      <c r="G456" t="s">
        <v>30</v>
      </c>
      <c r="H456">
        <v>29847</v>
      </c>
      <c r="I456" t="str" cm="1">
        <f t="array" ref="I456">_xlfn.IFS(H456 &lt; 30000, "Low", H456 &lt; 60000, "Medium", H456 &lt; 100000, "High", H456 &gt;= 100000, "Premium")</f>
        <v>Low</v>
      </c>
      <c r="J456" t="s">
        <v>19</v>
      </c>
      <c r="K456" s="1">
        <v>44557</v>
      </c>
      <c r="L456">
        <f t="shared" ca="1" si="14"/>
        <v>4</v>
      </c>
      <c r="M456" t="str" cm="1">
        <f t="array" aca="1" ref="M456" ca="1">_xlfn.IFS( L456 &lt;=2, "New", L456&lt;=6, "Engaged", L456 &gt;6, "Loyal")</f>
        <v>Engaged</v>
      </c>
      <c r="N456">
        <f t="shared" si="15"/>
        <v>2021</v>
      </c>
    </row>
    <row r="457" spans="1:14" x14ac:dyDescent="0.25">
      <c r="A457" t="s">
        <v>933</v>
      </c>
      <c r="B457" t="s">
        <v>934</v>
      </c>
      <c r="C457" t="s">
        <v>10</v>
      </c>
      <c r="D457">
        <v>73</v>
      </c>
      <c r="E457" t="str" cm="1">
        <f t="array" ref="E457">_xlfn.IFS(D457 &lt; 26, "Gen Z", D457 &lt;= 41, "Millennials", D457 &lt;= 57, "Gen X", D457 &gt;= 58, "Boomers")</f>
        <v>Boomers</v>
      </c>
      <c r="F457" t="s">
        <v>17</v>
      </c>
      <c r="G457" t="s">
        <v>22</v>
      </c>
      <c r="H457">
        <v>46155</v>
      </c>
      <c r="I457" t="str" cm="1">
        <f t="array" ref="I457">_xlfn.IFS(H457 &lt; 30000, "Low", H457 &lt; 60000, "Medium", H457 &lt; 100000, "High", H457 &gt;= 100000, "Premium")</f>
        <v>Medium</v>
      </c>
      <c r="J457" t="s">
        <v>13</v>
      </c>
      <c r="K457" s="1">
        <v>42386</v>
      </c>
      <c r="L457">
        <f t="shared" ca="1" si="14"/>
        <v>10</v>
      </c>
      <c r="M457" t="str" cm="1">
        <f t="array" aca="1" ref="M457" ca="1">_xlfn.IFS( L457 &lt;=2, "New", L457&lt;=6, "Engaged", L457 &gt;6, "Loyal")</f>
        <v>Loyal</v>
      </c>
      <c r="N457">
        <f t="shared" si="15"/>
        <v>2016</v>
      </c>
    </row>
    <row r="458" spans="1:14" x14ac:dyDescent="0.25">
      <c r="A458" t="s">
        <v>935</v>
      </c>
      <c r="B458" t="s">
        <v>936</v>
      </c>
      <c r="C458" t="s">
        <v>16</v>
      </c>
      <c r="D458">
        <v>50</v>
      </c>
      <c r="E458" t="str" cm="1">
        <f t="array" ref="E458">_xlfn.IFS(D458 &lt; 26, "Gen Z", D458 &lt;= 41, "Millennials", D458 &lt;= 57, "Gen X", D458 &gt;= 58, "Boomers")</f>
        <v>Gen X</v>
      </c>
      <c r="F458" t="s">
        <v>33</v>
      </c>
      <c r="G458" t="s">
        <v>41</v>
      </c>
      <c r="H458">
        <v>99671</v>
      </c>
      <c r="I458" t="str" cm="1">
        <f t="array" ref="I458">_xlfn.IFS(H458 &lt; 30000, "Low", H458 &lt; 60000, "Medium", H458 &lt; 100000, "High", H458 &gt;= 100000, "Premium")</f>
        <v>High</v>
      </c>
      <c r="J458" t="s">
        <v>13</v>
      </c>
      <c r="K458" s="1">
        <v>42416</v>
      </c>
      <c r="L458">
        <f t="shared" ca="1" si="14"/>
        <v>10</v>
      </c>
      <c r="M458" t="str" cm="1">
        <f t="array" aca="1" ref="M458" ca="1">_xlfn.IFS( L458 &lt;=2, "New", L458&lt;=6, "Engaged", L458 &gt;6, "Loyal")</f>
        <v>Loyal</v>
      </c>
      <c r="N458">
        <f t="shared" si="15"/>
        <v>2016</v>
      </c>
    </row>
    <row r="459" spans="1:14" x14ac:dyDescent="0.25">
      <c r="A459" t="s">
        <v>937</v>
      </c>
      <c r="B459" t="s">
        <v>938</v>
      </c>
      <c r="C459" t="s">
        <v>16</v>
      </c>
      <c r="D459">
        <v>71</v>
      </c>
      <c r="E459" t="str" cm="1">
        <f t="array" ref="E459">_xlfn.IFS(D459 &lt; 26, "Gen Z", D459 &lt;= 41, "Millennials", D459 &lt;= 57, "Gen X", D459 &gt;= 58, "Boomers")</f>
        <v>Boomers</v>
      </c>
      <c r="F459" t="s">
        <v>11</v>
      </c>
      <c r="G459" t="s">
        <v>12</v>
      </c>
      <c r="H459">
        <v>136891</v>
      </c>
      <c r="I459" t="str" cm="1">
        <f t="array" ref="I459">_xlfn.IFS(H459 &lt; 30000, "Low", H459 &lt; 60000, "Medium", H459 &lt; 100000, "High", H459 &gt;= 100000, "Premium")</f>
        <v>Premium</v>
      </c>
      <c r="J459" t="s">
        <v>19</v>
      </c>
      <c r="K459" s="1">
        <v>45469</v>
      </c>
      <c r="L459">
        <f t="shared" ca="1" si="14"/>
        <v>1</v>
      </c>
      <c r="M459" t="str" cm="1">
        <f t="array" aca="1" ref="M459" ca="1">_xlfn.IFS( L459 &lt;=2, "New", L459&lt;=6, "Engaged", L459 &gt;6, "Loyal")</f>
        <v>New</v>
      </c>
      <c r="N459">
        <f t="shared" si="15"/>
        <v>2024</v>
      </c>
    </row>
    <row r="460" spans="1:14" x14ac:dyDescent="0.25">
      <c r="A460" t="s">
        <v>939</v>
      </c>
      <c r="B460" t="s">
        <v>940</v>
      </c>
      <c r="C460" t="s">
        <v>10</v>
      </c>
      <c r="D460">
        <v>18</v>
      </c>
      <c r="E460" t="str" cm="1">
        <f t="array" ref="E460">_xlfn.IFS(D460 &lt; 26, "Gen Z", D460 &lt;= 41, "Millennials", D460 &lt;= 57, "Gen X", D460 &gt;= 58, "Boomers")</f>
        <v>Gen Z</v>
      </c>
      <c r="F460" t="s">
        <v>33</v>
      </c>
      <c r="G460" t="s">
        <v>22</v>
      </c>
      <c r="H460">
        <v>103310</v>
      </c>
      <c r="I460" t="str" cm="1">
        <f t="array" ref="I460">_xlfn.IFS(H460 &lt; 30000, "Low", H460 &lt; 60000, "Medium", H460 &lt; 100000, "High", H460 &gt;= 100000, "Premium")</f>
        <v>Premium</v>
      </c>
      <c r="J460" t="s">
        <v>19</v>
      </c>
      <c r="K460" s="1">
        <v>43849</v>
      </c>
      <c r="L460">
        <f t="shared" ca="1" si="14"/>
        <v>6</v>
      </c>
      <c r="M460" t="str" cm="1">
        <f t="array" aca="1" ref="M460" ca="1">_xlfn.IFS( L460 &lt;=2, "New", L460&lt;=6, "Engaged", L460 &gt;6, "Loyal")</f>
        <v>Engaged</v>
      </c>
      <c r="N460">
        <f t="shared" si="15"/>
        <v>2020</v>
      </c>
    </row>
    <row r="461" spans="1:14" x14ac:dyDescent="0.25">
      <c r="A461" t="s">
        <v>941</v>
      </c>
      <c r="B461" t="s">
        <v>942</v>
      </c>
      <c r="C461" t="s">
        <v>10</v>
      </c>
      <c r="D461">
        <v>35</v>
      </c>
      <c r="E461" t="str" cm="1">
        <f t="array" ref="E461">_xlfn.IFS(D461 &lt; 26, "Gen Z", D461 &lt;= 41, "Millennials", D461 &lt;= 57, "Gen X", D461 &gt;= 58, "Boomers")</f>
        <v>Millennials</v>
      </c>
      <c r="F461" t="s">
        <v>33</v>
      </c>
      <c r="G461" t="s">
        <v>22</v>
      </c>
      <c r="H461">
        <v>169381</v>
      </c>
      <c r="I461" t="str" cm="1">
        <f t="array" ref="I461">_xlfn.IFS(H461 &lt; 30000, "Low", H461 &lt; 60000, "Medium", H461 &lt; 100000, "High", H461 &gt;= 100000, "Premium")</f>
        <v>Premium</v>
      </c>
      <c r="J461" t="s">
        <v>13</v>
      </c>
      <c r="K461" s="1">
        <v>44357</v>
      </c>
      <c r="L461">
        <f t="shared" ca="1" si="14"/>
        <v>4</v>
      </c>
      <c r="M461" t="str" cm="1">
        <f t="array" aca="1" ref="M461" ca="1">_xlfn.IFS( L461 &lt;=2, "New", L461&lt;=6, "Engaged", L461 &gt;6, "Loyal")</f>
        <v>Engaged</v>
      </c>
      <c r="N461">
        <f t="shared" si="15"/>
        <v>2021</v>
      </c>
    </row>
    <row r="462" spans="1:14" x14ac:dyDescent="0.25">
      <c r="A462" t="s">
        <v>943</v>
      </c>
      <c r="B462" t="s">
        <v>944</v>
      </c>
      <c r="C462" t="s">
        <v>16</v>
      </c>
      <c r="D462">
        <v>49</v>
      </c>
      <c r="E462" t="str" cm="1">
        <f t="array" ref="E462">_xlfn.IFS(D462 &lt; 26, "Gen Z", D462 &lt;= 41, "Millennials", D462 &lt;= 57, "Gen X", D462 &gt;= 58, "Boomers")</f>
        <v>Gen X</v>
      </c>
      <c r="F462" t="s">
        <v>11</v>
      </c>
      <c r="G462" t="s">
        <v>30</v>
      </c>
      <c r="H462">
        <v>151691</v>
      </c>
      <c r="I462" t="str" cm="1">
        <f t="array" ref="I462">_xlfn.IFS(H462 &lt; 30000, "Low", H462 &lt; 60000, "Medium", H462 &lt; 100000, "High", H462 &gt;= 100000, "Premium")</f>
        <v>Premium</v>
      </c>
      <c r="J462" t="s">
        <v>13</v>
      </c>
      <c r="K462" s="1">
        <v>43401</v>
      </c>
      <c r="L462">
        <f t="shared" ca="1" si="14"/>
        <v>7</v>
      </c>
      <c r="M462" t="str" cm="1">
        <f t="array" aca="1" ref="M462" ca="1">_xlfn.IFS( L462 &lt;=2, "New", L462&lt;=6, "Engaged", L462 &gt;6, "Loyal")</f>
        <v>Loyal</v>
      </c>
      <c r="N462">
        <f t="shared" si="15"/>
        <v>2018</v>
      </c>
    </row>
    <row r="463" spans="1:14" x14ac:dyDescent="0.25">
      <c r="A463" t="s">
        <v>945</v>
      </c>
      <c r="B463" t="s">
        <v>946</v>
      </c>
      <c r="C463" t="s">
        <v>10</v>
      </c>
      <c r="D463">
        <v>64</v>
      </c>
      <c r="E463" t="str" cm="1">
        <f t="array" ref="E463">_xlfn.IFS(D463 &lt; 26, "Gen Z", D463 &lt;= 41, "Millennials", D463 &lt;= 57, "Gen X", D463 &gt;= 58, "Boomers")</f>
        <v>Boomers</v>
      </c>
      <c r="F463" t="s">
        <v>17</v>
      </c>
      <c r="G463" t="s">
        <v>12</v>
      </c>
      <c r="H463">
        <v>54707</v>
      </c>
      <c r="I463" t="str" cm="1">
        <f t="array" ref="I463">_xlfn.IFS(H463 &lt; 30000, "Low", H463 &lt; 60000, "Medium", H463 &lt; 100000, "High", H463 &gt;= 100000, "Premium")</f>
        <v>Medium</v>
      </c>
      <c r="J463" t="s">
        <v>19</v>
      </c>
      <c r="K463" s="1">
        <v>43726</v>
      </c>
      <c r="L463">
        <f t="shared" ca="1" si="14"/>
        <v>6</v>
      </c>
      <c r="M463" t="str" cm="1">
        <f t="array" aca="1" ref="M463" ca="1">_xlfn.IFS( L463 &lt;=2, "New", L463&lt;=6, "Engaged", L463 &gt;6, "Loyal")</f>
        <v>Engaged</v>
      </c>
      <c r="N463">
        <f t="shared" si="15"/>
        <v>2019</v>
      </c>
    </row>
    <row r="464" spans="1:14" x14ac:dyDescent="0.25">
      <c r="A464" t="s">
        <v>947</v>
      </c>
      <c r="B464" t="s">
        <v>948</v>
      </c>
      <c r="C464" t="s">
        <v>16</v>
      </c>
      <c r="D464">
        <v>66</v>
      </c>
      <c r="E464" t="str" cm="1">
        <f t="array" ref="E464">_xlfn.IFS(D464 &lt; 26, "Gen Z", D464 &lt;= 41, "Millennials", D464 &lt;= 57, "Gen X", D464 &gt;= 58, "Boomers")</f>
        <v>Boomers</v>
      </c>
      <c r="F464" t="s">
        <v>17</v>
      </c>
      <c r="G464" t="s">
        <v>41</v>
      </c>
      <c r="H464">
        <v>171409</v>
      </c>
      <c r="I464" t="str" cm="1">
        <f t="array" ref="I464">_xlfn.IFS(H464 &lt; 30000, "Low", H464 &lt; 60000, "Medium", H464 &lt; 100000, "High", H464 &gt;= 100000, "Premium")</f>
        <v>Premium</v>
      </c>
      <c r="J464" t="s">
        <v>13</v>
      </c>
      <c r="K464" s="1">
        <v>45484</v>
      </c>
      <c r="L464">
        <f t="shared" ca="1" si="14"/>
        <v>1</v>
      </c>
      <c r="M464" t="str" cm="1">
        <f t="array" aca="1" ref="M464" ca="1">_xlfn.IFS( L464 &lt;=2, "New", L464&lt;=6, "Engaged", L464 &gt;6, "Loyal")</f>
        <v>New</v>
      </c>
      <c r="N464">
        <f t="shared" si="15"/>
        <v>2024</v>
      </c>
    </row>
    <row r="465" spans="1:14" x14ac:dyDescent="0.25">
      <c r="A465" t="s">
        <v>949</v>
      </c>
      <c r="B465" t="s">
        <v>950</v>
      </c>
      <c r="C465" t="s">
        <v>10</v>
      </c>
      <c r="D465">
        <v>28</v>
      </c>
      <c r="E465" t="str" cm="1">
        <f t="array" ref="E465">_xlfn.IFS(D465 &lt; 26, "Gen Z", D465 &lt;= 41, "Millennials", D465 &lt;= 57, "Gen X", D465 &gt;= 58, "Boomers")</f>
        <v>Millennials</v>
      </c>
      <c r="F465" t="s">
        <v>29</v>
      </c>
      <c r="G465" t="s">
        <v>26</v>
      </c>
      <c r="H465">
        <v>101537</v>
      </c>
      <c r="I465" t="str" cm="1">
        <f t="array" ref="I465">_xlfn.IFS(H465 &lt; 30000, "Low", H465 &lt; 60000, "Medium", H465 &lt; 100000, "High", H465 &gt;= 100000, "Premium")</f>
        <v>Premium</v>
      </c>
      <c r="J465" t="s">
        <v>13</v>
      </c>
      <c r="K465" s="1">
        <v>43028</v>
      </c>
      <c r="L465">
        <f t="shared" ca="1" si="14"/>
        <v>8</v>
      </c>
      <c r="M465" t="str" cm="1">
        <f t="array" aca="1" ref="M465" ca="1">_xlfn.IFS( L465 &lt;=2, "New", L465&lt;=6, "Engaged", L465 &gt;6, "Loyal")</f>
        <v>Loyal</v>
      </c>
      <c r="N465">
        <f t="shared" si="15"/>
        <v>2017</v>
      </c>
    </row>
    <row r="466" spans="1:14" x14ac:dyDescent="0.25">
      <c r="A466" t="s">
        <v>951</v>
      </c>
      <c r="B466" t="s">
        <v>952</v>
      </c>
      <c r="C466" t="s">
        <v>16</v>
      </c>
      <c r="D466">
        <v>38</v>
      </c>
      <c r="E466" t="str" cm="1">
        <f t="array" ref="E466">_xlfn.IFS(D466 &lt; 26, "Gen Z", D466 &lt;= 41, "Millennials", D466 &lt;= 57, "Gen X", D466 &gt;= 58, "Boomers")</f>
        <v>Millennials</v>
      </c>
      <c r="F466" t="s">
        <v>11</v>
      </c>
      <c r="G466" t="s">
        <v>26</v>
      </c>
      <c r="H466">
        <v>198686</v>
      </c>
      <c r="I466" t="str" cm="1">
        <f t="array" ref="I466">_xlfn.IFS(H466 &lt; 30000, "Low", H466 &lt; 60000, "Medium", H466 &lt; 100000, "High", H466 &gt;= 100000, "Premium")</f>
        <v>Premium</v>
      </c>
      <c r="J466" t="s">
        <v>19</v>
      </c>
      <c r="K466" s="1">
        <v>45801</v>
      </c>
      <c r="L466">
        <f t="shared" ca="1" si="14"/>
        <v>0</v>
      </c>
      <c r="M466" t="str" cm="1">
        <f t="array" aca="1" ref="M466" ca="1">_xlfn.IFS( L466 &lt;=2, "New", L466&lt;=6, "Engaged", L466 &gt;6, "Loyal")</f>
        <v>New</v>
      </c>
      <c r="N466">
        <f t="shared" si="15"/>
        <v>2025</v>
      </c>
    </row>
    <row r="467" spans="1:14" x14ac:dyDescent="0.25">
      <c r="A467" t="s">
        <v>953</v>
      </c>
      <c r="B467" t="s">
        <v>954</v>
      </c>
      <c r="C467" t="s">
        <v>10</v>
      </c>
      <c r="D467">
        <v>43</v>
      </c>
      <c r="E467" t="str" cm="1">
        <f t="array" ref="E467">_xlfn.IFS(D467 &lt; 26, "Gen Z", D467 &lt;= 41, "Millennials", D467 &lt;= 57, "Gen X", D467 &gt;= 58, "Boomers")</f>
        <v>Gen X</v>
      </c>
      <c r="F467" t="s">
        <v>29</v>
      </c>
      <c r="G467" t="s">
        <v>22</v>
      </c>
      <c r="H467">
        <v>111155</v>
      </c>
      <c r="I467" t="str" cm="1">
        <f t="array" ref="I467">_xlfn.IFS(H467 &lt; 30000, "Low", H467 &lt; 60000, "Medium", H467 &lt; 100000, "High", H467 &gt;= 100000, "Premium")</f>
        <v>Premium</v>
      </c>
      <c r="J467" t="s">
        <v>13</v>
      </c>
      <c r="K467" s="1">
        <v>44745</v>
      </c>
      <c r="L467">
        <f t="shared" ca="1" si="14"/>
        <v>3</v>
      </c>
      <c r="M467" t="str" cm="1">
        <f t="array" aca="1" ref="M467" ca="1">_xlfn.IFS( L467 &lt;=2, "New", L467&lt;=6, "Engaged", L467 &gt;6, "Loyal")</f>
        <v>Engaged</v>
      </c>
      <c r="N467">
        <f t="shared" si="15"/>
        <v>2022</v>
      </c>
    </row>
    <row r="468" spans="1:14" x14ac:dyDescent="0.25">
      <c r="A468" t="s">
        <v>955</v>
      </c>
      <c r="B468" t="s">
        <v>956</v>
      </c>
      <c r="C468" t="s">
        <v>16</v>
      </c>
      <c r="D468">
        <v>42</v>
      </c>
      <c r="E468" t="str" cm="1">
        <f t="array" ref="E468">_xlfn.IFS(D468 &lt; 26, "Gen Z", D468 &lt;= 41, "Millennials", D468 &lt;= 57, "Gen X", D468 &gt;= 58, "Boomers")</f>
        <v>Gen X</v>
      </c>
      <c r="F468" t="s">
        <v>29</v>
      </c>
      <c r="G468" t="s">
        <v>12</v>
      </c>
      <c r="H468">
        <v>20281</v>
      </c>
      <c r="I468" t="str" cm="1">
        <f t="array" ref="I468">_xlfn.IFS(H468 &lt; 30000, "Low", H468 &lt; 60000, "Medium", H468 &lt; 100000, "High", H468 &gt;= 100000, "Premium")</f>
        <v>Low</v>
      </c>
      <c r="J468" t="s">
        <v>19</v>
      </c>
      <c r="K468" s="1">
        <v>44498</v>
      </c>
      <c r="L468">
        <f t="shared" ca="1" si="14"/>
        <v>4</v>
      </c>
      <c r="M468" t="str" cm="1">
        <f t="array" aca="1" ref="M468" ca="1">_xlfn.IFS( L468 &lt;=2, "New", L468&lt;=6, "Engaged", L468 &gt;6, "Loyal")</f>
        <v>Engaged</v>
      </c>
      <c r="N468">
        <f t="shared" si="15"/>
        <v>2021</v>
      </c>
    </row>
    <row r="469" spans="1:14" x14ac:dyDescent="0.25">
      <c r="A469" t="s">
        <v>957</v>
      </c>
      <c r="B469" t="s">
        <v>958</v>
      </c>
      <c r="C469" t="s">
        <v>10</v>
      </c>
      <c r="D469">
        <v>39</v>
      </c>
      <c r="E469" t="str" cm="1">
        <f t="array" ref="E469">_xlfn.IFS(D469 &lt; 26, "Gen Z", D469 &lt;= 41, "Millennials", D469 &lt;= 57, "Gen X", D469 &gt;= 58, "Boomers")</f>
        <v>Millennials</v>
      </c>
      <c r="F469" t="s">
        <v>29</v>
      </c>
      <c r="G469" t="s">
        <v>12</v>
      </c>
      <c r="H469">
        <v>178492</v>
      </c>
      <c r="I469" t="str" cm="1">
        <f t="array" ref="I469">_xlfn.IFS(H469 &lt; 30000, "Low", H469 &lt; 60000, "Medium", H469 &lt; 100000, "High", H469 &gt;= 100000, "Premium")</f>
        <v>Premium</v>
      </c>
      <c r="J469" t="s">
        <v>13</v>
      </c>
      <c r="K469" s="1">
        <v>45319</v>
      </c>
      <c r="L469">
        <f t="shared" ca="1" si="14"/>
        <v>2</v>
      </c>
      <c r="M469" t="str" cm="1">
        <f t="array" aca="1" ref="M469" ca="1">_xlfn.IFS( L469 &lt;=2, "New", L469&lt;=6, "Engaged", L469 &gt;6, "Loyal")</f>
        <v>New</v>
      </c>
      <c r="N469">
        <f t="shared" si="15"/>
        <v>2024</v>
      </c>
    </row>
    <row r="470" spans="1:14" x14ac:dyDescent="0.25">
      <c r="A470" t="s">
        <v>959</v>
      </c>
      <c r="B470" t="s">
        <v>960</v>
      </c>
      <c r="C470" t="s">
        <v>10</v>
      </c>
      <c r="D470">
        <v>44</v>
      </c>
      <c r="E470" t="str" cm="1">
        <f t="array" ref="E470">_xlfn.IFS(D470 &lt; 26, "Gen Z", D470 &lt;= 41, "Millennials", D470 &lt;= 57, "Gen X", D470 &gt;= 58, "Boomers")</f>
        <v>Gen X</v>
      </c>
      <c r="F470" t="s">
        <v>17</v>
      </c>
      <c r="G470" t="s">
        <v>41</v>
      </c>
      <c r="H470">
        <v>190102</v>
      </c>
      <c r="I470" t="str" cm="1">
        <f t="array" ref="I470">_xlfn.IFS(H470 &lt; 30000, "Low", H470 &lt; 60000, "Medium", H470 &lt; 100000, "High", H470 &gt;= 100000, "Premium")</f>
        <v>Premium</v>
      </c>
      <c r="J470" t="s">
        <v>23</v>
      </c>
      <c r="K470" s="1">
        <v>42954</v>
      </c>
      <c r="L470">
        <f t="shared" ca="1" si="14"/>
        <v>8</v>
      </c>
      <c r="M470" t="str" cm="1">
        <f t="array" aca="1" ref="M470" ca="1">_xlfn.IFS( L470 &lt;=2, "New", L470&lt;=6, "Engaged", L470 &gt;6, "Loyal")</f>
        <v>Loyal</v>
      </c>
      <c r="N470">
        <f t="shared" si="15"/>
        <v>2017</v>
      </c>
    </row>
    <row r="471" spans="1:14" x14ac:dyDescent="0.25">
      <c r="A471" t="s">
        <v>961</v>
      </c>
      <c r="B471" t="s">
        <v>962</v>
      </c>
      <c r="C471" t="s">
        <v>16</v>
      </c>
      <c r="D471">
        <v>66</v>
      </c>
      <c r="E471" t="str" cm="1">
        <f t="array" ref="E471">_xlfn.IFS(D471 &lt; 26, "Gen Z", D471 &lt;= 41, "Millennials", D471 &lt;= 57, "Gen X", D471 &gt;= 58, "Boomers")</f>
        <v>Boomers</v>
      </c>
      <c r="F471" t="s">
        <v>11</v>
      </c>
      <c r="G471" t="s">
        <v>30</v>
      </c>
      <c r="H471">
        <v>152130</v>
      </c>
      <c r="I471" t="str" cm="1">
        <f t="array" ref="I471">_xlfn.IFS(H471 &lt; 30000, "Low", H471 &lt; 60000, "Medium", H471 &lt; 100000, "High", H471 &gt;= 100000, "Premium")</f>
        <v>Premium</v>
      </c>
      <c r="J471" t="s">
        <v>13</v>
      </c>
      <c r="K471" s="1">
        <v>44345</v>
      </c>
      <c r="L471">
        <f t="shared" ca="1" si="14"/>
        <v>4</v>
      </c>
      <c r="M471" t="str" cm="1">
        <f t="array" aca="1" ref="M471" ca="1">_xlfn.IFS( L471 &lt;=2, "New", L471&lt;=6, "Engaged", L471 &gt;6, "Loyal")</f>
        <v>Engaged</v>
      </c>
      <c r="N471">
        <f t="shared" si="15"/>
        <v>2021</v>
      </c>
    </row>
    <row r="472" spans="1:14" x14ac:dyDescent="0.25">
      <c r="A472" t="s">
        <v>963</v>
      </c>
      <c r="B472" t="s">
        <v>964</v>
      </c>
      <c r="C472" t="s">
        <v>10</v>
      </c>
      <c r="D472">
        <v>30</v>
      </c>
      <c r="E472" t="str" cm="1">
        <f t="array" ref="E472">_xlfn.IFS(D472 &lt; 26, "Gen Z", D472 &lt;= 41, "Millennials", D472 &lt;= 57, "Gen X", D472 &gt;= 58, "Boomers")</f>
        <v>Millennials</v>
      </c>
      <c r="F472" t="s">
        <v>29</v>
      </c>
      <c r="G472" t="s">
        <v>18</v>
      </c>
      <c r="H472">
        <v>96260</v>
      </c>
      <c r="I472" t="str" cm="1">
        <f t="array" ref="I472">_xlfn.IFS(H472 &lt; 30000, "Low", H472 &lt; 60000, "Medium", H472 &lt; 100000, "High", H472 &gt;= 100000, "Premium")</f>
        <v>High</v>
      </c>
      <c r="J472" t="s">
        <v>13</v>
      </c>
      <c r="K472" s="1">
        <v>45664</v>
      </c>
      <c r="L472">
        <f t="shared" ca="1" si="14"/>
        <v>1</v>
      </c>
      <c r="M472" t="str" cm="1">
        <f t="array" aca="1" ref="M472" ca="1">_xlfn.IFS( L472 &lt;=2, "New", L472&lt;=6, "Engaged", L472 &gt;6, "Loyal")</f>
        <v>New</v>
      </c>
      <c r="N472">
        <f t="shared" si="15"/>
        <v>2025</v>
      </c>
    </row>
    <row r="473" spans="1:14" x14ac:dyDescent="0.25">
      <c r="A473" t="s">
        <v>965</v>
      </c>
      <c r="B473" t="s">
        <v>966</v>
      </c>
      <c r="C473" t="s">
        <v>16</v>
      </c>
      <c r="D473">
        <v>50</v>
      </c>
      <c r="E473" t="str" cm="1">
        <f t="array" ref="E473">_xlfn.IFS(D473 &lt; 26, "Gen Z", D473 &lt;= 41, "Millennials", D473 &lt;= 57, "Gen X", D473 &gt;= 58, "Boomers")</f>
        <v>Gen X</v>
      </c>
      <c r="F473" t="s">
        <v>11</v>
      </c>
      <c r="G473" t="s">
        <v>26</v>
      </c>
      <c r="H473">
        <v>179476</v>
      </c>
      <c r="I473" t="str" cm="1">
        <f t="array" ref="I473">_xlfn.IFS(H473 &lt; 30000, "Low", H473 &lt; 60000, "Medium", H473 &lt; 100000, "High", H473 &gt;= 100000, "Premium")</f>
        <v>Premium</v>
      </c>
      <c r="J473" t="s">
        <v>13</v>
      </c>
      <c r="K473" s="1">
        <v>43369</v>
      </c>
      <c r="L473">
        <f t="shared" ca="1" si="14"/>
        <v>7</v>
      </c>
      <c r="M473" t="str" cm="1">
        <f t="array" aca="1" ref="M473" ca="1">_xlfn.IFS( L473 &lt;=2, "New", L473&lt;=6, "Engaged", L473 &gt;6, "Loyal")</f>
        <v>Loyal</v>
      </c>
      <c r="N473">
        <f t="shared" si="15"/>
        <v>2018</v>
      </c>
    </row>
    <row r="474" spans="1:14" x14ac:dyDescent="0.25">
      <c r="A474" t="s">
        <v>967</v>
      </c>
      <c r="B474" t="s">
        <v>968</v>
      </c>
      <c r="C474" t="s">
        <v>10</v>
      </c>
      <c r="D474">
        <v>51</v>
      </c>
      <c r="E474" t="str" cm="1">
        <f t="array" ref="E474">_xlfn.IFS(D474 &lt; 26, "Gen Z", D474 &lt;= 41, "Millennials", D474 &lt;= 57, "Gen X", D474 &gt;= 58, "Boomers")</f>
        <v>Gen X</v>
      </c>
      <c r="F474" t="s">
        <v>11</v>
      </c>
      <c r="G474" t="s">
        <v>30</v>
      </c>
      <c r="H474">
        <v>180928</v>
      </c>
      <c r="I474" t="str" cm="1">
        <f t="array" ref="I474">_xlfn.IFS(H474 &lt; 30000, "Low", H474 &lt; 60000, "Medium", H474 &lt; 100000, "High", H474 &gt;= 100000, "Premium")</f>
        <v>Premium</v>
      </c>
      <c r="J474" t="s">
        <v>13</v>
      </c>
      <c r="K474" s="1">
        <v>44083</v>
      </c>
      <c r="L474">
        <f t="shared" ca="1" si="14"/>
        <v>5</v>
      </c>
      <c r="M474" t="str" cm="1">
        <f t="array" aca="1" ref="M474" ca="1">_xlfn.IFS( L474 &lt;=2, "New", L474&lt;=6, "Engaged", L474 &gt;6, "Loyal")</f>
        <v>Engaged</v>
      </c>
      <c r="N474">
        <f t="shared" si="15"/>
        <v>2020</v>
      </c>
    </row>
    <row r="475" spans="1:14" x14ac:dyDescent="0.25">
      <c r="A475" t="s">
        <v>969</v>
      </c>
      <c r="B475" t="s">
        <v>970</v>
      </c>
      <c r="C475" t="s">
        <v>16</v>
      </c>
      <c r="D475">
        <v>58</v>
      </c>
      <c r="E475" t="str" cm="1">
        <f t="array" ref="E475">_xlfn.IFS(D475 &lt; 26, "Gen Z", D475 &lt;= 41, "Millennials", D475 &lt;= 57, "Gen X", D475 &gt;= 58, "Boomers")</f>
        <v>Boomers</v>
      </c>
      <c r="F475" t="s">
        <v>17</v>
      </c>
      <c r="G475" t="s">
        <v>36</v>
      </c>
      <c r="H475">
        <v>160272</v>
      </c>
      <c r="I475" t="str" cm="1">
        <f t="array" ref="I475">_xlfn.IFS(H475 &lt; 30000, "Low", H475 &lt; 60000, "Medium", H475 &lt; 100000, "High", H475 &gt;= 100000, "Premium")</f>
        <v>Premium</v>
      </c>
      <c r="J475" t="s">
        <v>19</v>
      </c>
      <c r="K475" s="1">
        <v>43719</v>
      </c>
      <c r="L475">
        <f t="shared" ca="1" si="14"/>
        <v>6</v>
      </c>
      <c r="M475" t="str" cm="1">
        <f t="array" aca="1" ref="M475" ca="1">_xlfn.IFS( L475 &lt;=2, "New", L475&lt;=6, "Engaged", L475 &gt;6, "Loyal")</f>
        <v>Engaged</v>
      </c>
      <c r="N475">
        <f t="shared" si="15"/>
        <v>2019</v>
      </c>
    </row>
    <row r="476" spans="1:14" x14ac:dyDescent="0.25">
      <c r="A476" t="s">
        <v>971</v>
      </c>
      <c r="B476" t="s">
        <v>972</v>
      </c>
      <c r="C476" t="s">
        <v>10</v>
      </c>
      <c r="D476">
        <v>52</v>
      </c>
      <c r="E476" t="str" cm="1">
        <f t="array" ref="E476">_xlfn.IFS(D476 &lt; 26, "Gen Z", D476 &lt;= 41, "Millennials", D476 &lt;= 57, "Gen X", D476 &gt;= 58, "Boomers")</f>
        <v>Gen X</v>
      </c>
      <c r="F476" t="s">
        <v>29</v>
      </c>
      <c r="G476" t="s">
        <v>26</v>
      </c>
      <c r="H476">
        <v>84178</v>
      </c>
      <c r="I476" t="str" cm="1">
        <f t="array" ref="I476">_xlfn.IFS(H476 &lt; 30000, "Low", H476 &lt; 60000, "Medium", H476 &lt; 100000, "High", H476 &gt;= 100000, "Premium")</f>
        <v>High</v>
      </c>
      <c r="J476" t="s">
        <v>23</v>
      </c>
      <c r="K476" s="1">
        <v>44123</v>
      </c>
      <c r="L476">
        <f t="shared" ca="1" si="14"/>
        <v>5</v>
      </c>
      <c r="M476" t="str" cm="1">
        <f t="array" aca="1" ref="M476" ca="1">_xlfn.IFS( L476 &lt;=2, "New", L476&lt;=6, "Engaged", L476 &gt;6, "Loyal")</f>
        <v>Engaged</v>
      </c>
      <c r="N476">
        <f t="shared" si="15"/>
        <v>2020</v>
      </c>
    </row>
    <row r="477" spans="1:14" x14ac:dyDescent="0.25">
      <c r="A477" t="s">
        <v>973</v>
      </c>
      <c r="B477" t="s">
        <v>974</v>
      </c>
      <c r="C477" t="s">
        <v>16</v>
      </c>
      <c r="D477">
        <v>18</v>
      </c>
      <c r="E477" t="str" cm="1">
        <f t="array" ref="E477">_xlfn.IFS(D477 &lt; 26, "Gen Z", D477 &lt;= 41, "Millennials", D477 &lt;= 57, "Gen X", D477 &gt;= 58, "Boomers")</f>
        <v>Gen Z</v>
      </c>
      <c r="F477" t="s">
        <v>29</v>
      </c>
      <c r="G477" t="s">
        <v>30</v>
      </c>
      <c r="H477">
        <v>53997</v>
      </c>
      <c r="I477" t="str" cm="1">
        <f t="array" ref="I477">_xlfn.IFS(H477 &lt; 30000, "Low", H477 &lt; 60000, "Medium", H477 &lt; 100000, "High", H477 &gt;= 100000, "Premium")</f>
        <v>Medium</v>
      </c>
      <c r="J477" t="s">
        <v>13</v>
      </c>
      <c r="K477" s="1">
        <v>43488</v>
      </c>
      <c r="L477">
        <f t="shared" ca="1" si="14"/>
        <v>7</v>
      </c>
      <c r="M477" t="str" cm="1">
        <f t="array" aca="1" ref="M477" ca="1">_xlfn.IFS( L477 &lt;=2, "New", L477&lt;=6, "Engaged", L477 &gt;6, "Loyal")</f>
        <v>Loyal</v>
      </c>
      <c r="N477">
        <f t="shared" si="15"/>
        <v>2019</v>
      </c>
    </row>
    <row r="478" spans="1:14" x14ac:dyDescent="0.25">
      <c r="A478" t="s">
        <v>975</v>
      </c>
      <c r="B478" t="s">
        <v>976</v>
      </c>
      <c r="C478" t="s">
        <v>10</v>
      </c>
      <c r="D478">
        <v>38</v>
      </c>
      <c r="E478" t="str" cm="1">
        <f t="array" ref="E478">_xlfn.IFS(D478 &lt; 26, "Gen Z", D478 &lt;= 41, "Millennials", D478 &lt;= 57, "Gen X", D478 &gt;= 58, "Boomers")</f>
        <v>Millennials</v>
      </c>
      <c r="F478" t="s">
        <v>11</v>
      </c>
      <c r="G478" t="s">
        <v>26</v>
      </c>
      <c r="H478">
        <v>176683</v>
      </c>
      <c r="I478" t="str" cm="1">
        <f t="array" ref="I478">_xlfn.IFS(H478 &lt; 30000, "Low", H478 &lt; 60000, "Medium", H478 &lt; 100000, "High", H478 &gt;= 100000, "Premium")</f>
        <v>Premium</v>
      </c>
      <c r="J478" t="s">
        <v>13</v>
      </c>
      <c r="K478" s="1">
        <v>42325</v>
      </c>
      <c r="L478">
        <f t="shared" ca="1" si="14"/>
        <v>10</v>
      </c>
      <c r="M478" t="str" cm="1">
        <f t="array" aca="1" ref="M478" ca="1">_xlfn.IFS( L478 &lt;=2, "New", L478&lt;=6, "Engaged", L478 &gt;6, "Loyal")</f>
        <v>Loyal</v>
      </c>
      <c r="N478">
        <f t="shared" si="15"/>
        <v>2015</v>
      </c>
    </row>
    <row r="479" spans="1:14" x14ac:dyDescent="0.25">
      <c r="A479" t="s">
        <v>977</v>
      </c>
      <c r="B479" t="s">
        <v>978</v>
      </c>
      <c r="C479" t="s">
        <v>16</v>
      </c>
      <c r="D479">
        <v>65</v>
      </c>
      <c r="E479" t="str" cm="1">
        <f t="array" ref="E479">_xlfn.IFS(D479 &lt; 26, "Gen Z", D479 &lt;= 41, "Millennials", D479 &lt;= 57, "Gen X", D479 &gt;= 58, "Boomers")</f>
        <v>Boomers</v>
      </c>
      <c r="F479" t="s">
        <v>33</v>
      </c>
      <c r="G479" t="s">
        <v>18</v>
      </c>
      <c r="H479">
        <v>139273</v>
      </c>
      <c r="I479" t="str" cm="1">
        <f t="array" ref="I479">_xlfn.IFS(H479 &lt; 30000, "Low", H479 &lt; 60000, "Medium", H479 &lt; 100000, "High", H479 &gt;= 100000, "Premium")</f>
        <v>Premium</v>
      </c>
      <c r="J479" t="s">
        <v>19</v>
      </c>
      <c r="K479" s="1">
        <v>42602</v>
      </c>
      <c r="L479">
        <f t="shared" ca="1" si="14"/>
        <v>9</v>
      </c>
      <c r="M479" t="str" cm="1">
        <f t="array" aca="1" ref="M479" ca="1">_xlfn.IFS( L479 &lt;=2, "New", L479&lt;=6, "Engaged", L479 &gt;6, "Loyal")</f>
        <v>Loyal</v>
      </c>
      <c r="N479">
        <f t="shared" si="15"/>
        <v>2016</v>
      </c>
    </row>
    <row r="480" spans="1:14" x14ac:dyDescent="0.25">
      <c r="A480" t="s">
        <v>979</v>
      </c>
      <c r="B480" t="s">
        <v>980</v>
      </c>
      <c r="C480" t="s">
        <v>10</v>
      </c>
      <c r="D480">
        <v>72</v>
      </c>
      <c r="E480" t="str" cm="1">
        <f t="array" ref="E480">_xlfn.IFS(D480 &lt; 26, "Gen Z", D480 &lt;= 41, "Millennials", D480 &lt;= 57, "Gen X", D480 &gt;= 58, "Boomers")</f>
        <v>Boomers</v>
      </c>
      <c r="F480" t="s">
        <v>17</v>
      </c>
      <c r="G480" t="s">
        <v>36</v>
      </c>
      <c r="H480">
        <v>192307</v>
      </c>
      <c r="I480" t="str" cm="1">
        <f t="array" ref="I480">_xlfn.IFS(H480 &lt; 30000, "Low", H480 &lt; 60000, "Medium", H480 &lt; 100000, "High", H480 &gt;= 100000, "Premium")</f>
        <v>Premium</v>
      </c>
      <c r="J480" t="s">
        <v>19</v>
      </c>
      <c r="K480" s="1">
        <v>44108</v>
      </c>
      <c r="L480">
        <f t="shared" ca="1" si="14"/>
        <v>5</v>
      </c>
      <c r="M480" t="str" cm="1">
        <f t="array" aca="1" ref="M480" ca="1">_xlfn.IFS( L480 &lt;=2, "New", L480&lt;=6, "Engaged", L480 &gt;6, "Loyal")</f>
        <v>Engaged</v>
      </c>
      <c r="N480">
        <f t="shared" si="15"/>
        <v>2020</v>
      </c>
    </row>
    <row r="481" spans="1:14" x14ac:dyDescent="0.25">
      <c r="A481" t="s">
        <v>981</v>
      </c>
      <c r="B481" t="s">
        <v>982</v>
      </c>
      <c r="C481" t="s">
        <v>16</v>
      </c>
      <c r="D481">
        <v>23</v>
      </c>
      <c r="E481" t="str" cm="1">
        <f t="array" ref="E481">_xlfn.IFS(D481 &lt; 26, "Gen Z", D481 &lt;= 41, "Millennials", D481 &lt;= 57, "Gen X", D481 &gt;= 58, "Boomers")</f>
        <v>Gen Z</v>
      </c>
      <c r="F481" t="s">
        <v>17</v>
      </c>
      <c r="G481" t="s">
        <v>18</v>
      </c>
      <c r="H481">
        <v>186129</v>
      </c>
      <c r="I481" t="str" cm="1">
        <f t="array" ref="I481">_xlfn.IFS(H481 &lt; 30000, "Low", H481 &lt; 60000, "Medium", H481 &lt; 100000, "High", H481 &gt;= 100000, "Premium")</f>
        <v>Premium</v>
      </c>
      <c r="J481" t="s">
        <v>13</v>
      </c>
      <c r="K481" s="1">
        <v>45476</v>
      </c>
      <c r="L481">
        <f t="shared" ca="1" si="14"/>
        <v>1</v>
      </c>
      <c r="M481" t="str" cm="1">
        <f t="array" aca="1" ref="M481" ca="1">_xlfn.IFS( L481 &lt;=2, "New", L481&lt;=6, "Engaged", L481 &gt;6, "Loyal")</f>
        <v>New</v>
      </c>
      <c r="N481">
        <f t="shared" si="15"/>
        <v>2024</v>
      </c>
    </row>
    <row r="482" spans="1:14" x14ac:dyDescent="0.25">
      <c r="A482" t="s">
        <v>983</v>
      </c>
      <c r="B482" t="s">
        <v>984</v>
      </c>
      <c r="C482" t="s">
        <v>16</v>
      </c>
      <c r="D482">
        <v>45</v>
      </c>
      <c r="E482" t="str" cm="1">
        <f t="array" ref="E482">_xlfn.IFS(D482 &lt; 26, "Gen Z", D482 &lt;= 41, "Millennials", D482 &lt;= 57, "Gen X", D482 &gt;= 58, "Boomers")</f>
        <v>Gen X</v>
      </c>
      <c r="F482" t="s">
        <v>17</v>
      </c>
      <c r="G482" t="s">
        <v>41</v>
      </c>
      <c r="H482">
        <v>152311</v>
      </c>
      <c r="I482" t="str" cm="1">
        <f t="array" ref="I482">_xlfn.IFS(H482 &lt; 30000, "Low", H482 &lt; 60000, "Medium", H482 &lt; 100000, "High", H482 &gt;= 100000, "Premium")</f>
        <v>Premium</v>
      </c>
      <c r="J482" t="s">
        <v>13</v>
      </c>
      <c r="K482" s="1">
        <v>42411</v>
      </c>
      <c r="L482">
        <f t="shared" ca="1" si="14"/>
        <v>10</v>
      </c>
      <c r="M482" t="str" cm="1">
        <f t="array" aca="1" ref="M482" ca="1">_xlfn.IFS( L482 &lt;=2, "New", L482&lt;=6, "Engaged", L482 &gt;6, "Loyal")</f>
        <v>Loyal</v>
      </c>
      <c r="N482">
        <f t="shared" si="15"/>
        <v>2016</v>
      </c>
    </row>
    <row r="483" spans="1:14" x14ac:dyDescent="0.25">
      <c r="A483" t="s">
        <v>985</v>
      </c>
      <c r="B483" t="s">
        <v>986</v>
      </c>
      <c r="C483" t="s">
        <v>16</v>
      </c>
      <c r="D483">
        <v>34</v>
      </c>
      <c r="E483" t="str" cm="1">
        <f t="array" ref="E483">_xlfn.IFS(D483 &lt; 26, "Gen Z", D483 &lt;= 41, "Millennials", D483 &lt;= 57, "Gen X", D483 &gt;= 58, "Boomers")</f>
        <v>Millennials</v>
      </c>
      <c r="F483" t="s">
        <v>17</v>
      </c>
      <c r="G483" t="s">
        <v>36</v>
      </c>
      <c r="H483">
        <v>146945</v>
      </c>
      <c r="I483" t="str" cm="1">
        <f t="array" ref="I483">_xlfn.IFS(H483 &lt; 30000, "Low", H483 &lt; 60000, "Medium", H483 &lt; 100000, "High", H483 &gt;= 100000, "Premium")</f>
        <v>Premium</v>
      </c>
      <c r="J483" t="s">
        <v>13</v>
      </c>
      <c r="K483" s="1">
        <v>43553</v>
      </c>
      <c r="L483">
        <f t="shared" ca="1" si="14"/>
        <v>7</v>
      </c>
      <c r="M483" t="str" cm="1">
        <f t="array" aca="1" ref="M483" ca="1">_xlfn.IFS( L483 &lt;=2, "New", L483&lt;=6, "Engaged", L483 &gt;6, "Loyal")</f>
        <v>Loyal</v>
      </c>
      <c r="N483">
        <f t="shared" si="15"/>
        <v>2019</v>
      </c>
    </row>
    <row r="484" spans="1:14" x14ac:dyDescent="0.25">
      <c r="A484" t="s">
        <v>987</v>
      </c>
      <c r="B484" t="s">
        <v>988</v>
      </c>
      <c r="C484" t="s">
        <v>10</v>
      </c>
      <c r="D484">
        <v>22</v>
      </c>
      <c r="E484" t="str" cm="1">
        <f t="array" ref="E484">_xlfn.IFS(D484 &lt; 26, "Gen Z", D484 &lt;= 41, "Millennials", D484 &lt;= 57, "Gen X", D484 &gt;= 58, "Boomers")</f>
        <v>Gen Z</v>
      </c>
      <c r="F484" t="s">
        <v>29</v>
      </c>
      <c r="G484" t="s">
        <v>22</v>
      </c>
      <c r="H484">
        <v>65272</v>
      </c>
      <c r="I484" t="str" cm="1">
        <f t="array" ref="I484">_xlfn.IFS(H484 &lt; 30000, "Low", H484 &lt; 60000, "Medium", H484 &lt; 100000, "High", H484 &gt;= 100000, "Premium")</f>
        <v>High</v>
      </c>
      <c r="J484" t="s">
        <v>19</v>
      </c>
      <c r="K484" s="1">
        <v>45512</v>
      </c>
      <c r="L484">
        <f t="shared" ca="1" si="14"/>
        <v>1</v>
      </c>
      <c r="M484" t="str" cm="1">
        <f t="array" aca="1" ref="M484" ca="1">_xlfn.IFS( L484 &lt;=2, "New", L484&lt;=6, "Engaged", L484 &gt;6, "Loyal")</f>
        <v>New</v>
      </c>
      <c r="N484">
        <f t="shared" si="15"/>
        <v>2024</v>
      </c>
    </row>
    <row r="485" spans="1:14" x14ac:dyDescent="0.25">
      <c r="A485" t="s">
        <v>989</v>
      </c>
      <c r="B485" t="s">
        <v>990</v>
      </c>
      <c r="C485" t="s">
        <v>16</v>
      </c>
      <c r="D485">
        <v>48</v>
      </c>
      <c r="E485" t="str" cm="1">
        <f t="array" ref="E485">_xlfn.IFS(D485 &lt; 26, "Gen Z", D485 &lt;= 41, "Millennials", D485 &lt;= 57, "Gen X", D485 &gt;= 58, "Boomers")</f>
        <v>Gen X</v>
      </c>
      <c r="F485" t="s">
        <v>29</v>
      </c>
      <c r="G485" t="s">
        <v>30</v>
      </c>
      <c r="H485">
        <v>109393</v>
      </c>
      <c r="I485" t="str" cm="1">
        <f t="array" ref="I485">_xlfn.IFS(H485 &lt; 30000, "Low", H485 &lt; 60000, "Medium", H485 &lt; 100000, "High", H485 &gt;= 100000, "Premium")</f>
        <v>Premium</v>
      </c>
      <c r="J485" t="s">
        <v>13</v>
      </c>
      <c r="K485" s="1">
        <v>45087</v>
      </c>
      <c r="L485">
        <f t="shared" ca="1" si="14"/>
        <v>2</v>
      </c>
      <c r="M485" t="str" cm="1">
        <f t="array" aca="1" ref="M485" ca="1">_xlfn.IFS( L485 &lt;=2, "New", L485&lt;=6, "Engaged", L485 &gt;6, "Loyal")</f>
        <v>New</v>
      </c>
      <c r="N485">
        <f t="shared" si="15"/>
        <v>2023</v>
      </c>
    </row>
    <row r="486" spans="1:14" x14ac:dyDescent="0.25">
      <c r="A486" t="s">
        <v>991</v>
      </c>
      <c r="B486" t="s">
        <v>992</v>
      </c>
      <c r="C486" t="s">
        <v>10</v>
      </c>
      <c r="D486">
        <v>22</v>
      </c>
      <c r="E486" t="str" cm="1">
        <f t="array" ref="E486">_xlfn.IFS(D486 &lt; 26, "Gen Z", D486 &lt;= 41, "Millennials", D486 &lt;= 57, "Gen X", D486 &gt;= 58, "Boomers")</f>
        <v>Gen Z</v>
      </c>
      <c r="F486" t="s">
        <v>33</v>
      </c>
      <c r="G486" t="s">
        <v>36</v>
      </c>
      <c r="H486">
        <v>81212</v>
      </c>
      <c r="I486" t="str" cm="1">
        <f t="array" ref="I486">_xlfn.IFS(H486 &lt; 30000, "Low", H486 &lt; 60000, "Medium", H486 &lt; 100000, "High", H486 &gt;= 100000, "Premium")</f>
        <v>High</v>
      </c>
      <c r="J486" t="s">
        <v>19</v>
      </c>
      <c r="K486" s="1">
        <v>43346</v>
      </c>
      <c r="L486">
        <f t="shared" ca="1" si="14"/>
        <v>7</v>
      </c>
      <c r="M486" t="str" cm="1">
        <f t="array" aca="1" ref="M486" ca="1">_xlfn.IFS( L486 &lt;=2, "New", L486&lt;=6, "Engaged", L486 &gt;6, "Loyal")</f>
        <v>Loyal</v>
      </c>
      <c r="N486">
        <f t="shared" si="15"/>
        <v>2018</v>
      </c>
    </row>
    <row r="487" spans="1:14" x14ac:dyDescent="0.25">
      <c r="A487" t="s">
        <v>993</v>
      </c>
      <c r="B487" t="s">
        <v>994</v>
      </c>
      <c r="C487" t="s">
        <v>16</v>
      </c>
      <c r="D487">
        <v>55</v>
      </c>
      <c r="E487" t="str" cm="1">
        <f t="array" ref="E487">_xlfn.IFS(D487 &lt; 26, "Gen Z", D487 &lt;= 41, "Millennials", D487 &lt;= 57, "Gen X", D487 &gt;= 58, "Boomers")</f>
        <v>Gen X</v>
      </c>
      <c r="F487" t="s">
        <v>17</v>
      </c>
      <c r="G487" t="s">
        <v>41</v>
      </c>
      <c r="H487">
        <v>166470</v>
      </c>
      <c r="I487" t="str" cm="1">
        <f t="array" ref="I487">_xlfn.IFS(H487 &lt; 30000, "Low", H487 &lt; 60000, "Medium", H487 &lt; 100000, "High", H487 &gt;= 100000, "Premium")</f>
        <v>Premium</v>
      </c>
      <c r="J487" t="s">
        <v>13</v>
      </c>
      <c r="K487" s="1">
        <v>45621</v>
      </c>
      <c r="L487">
        <f t="shared" ca="1" si="14"/>
        <v>1</v>
      </c>
      <c r="M487" t="str" cm="1">
        <f t="array" aca="1" ref="M487" ca="1">_xlfn.IFS( L487 &lt;=2, "New", L487&lt;=6, "Engaged", L487 &gt;6, "Loyal")</f>
        <v>New</v>
      </c>
      <c r="N487">
        <f t="shared" si="15"/>
        <v>2024</v>
      </c>
    </row>
    <row r="488" spans="1:14" x14ac:dyDescent="0.25">
      <c r="A488" t="s">
        <v>995</v>
      </c>
      <c r="B488" t="s">
        <v>996</v>
      </c>
      <c r="C488" t="s">
        <v>10</v>
      </c>
      <c r="D488">
        <v>20</v>
      </c>
      <c r="E488" t="str" cm="1">
        <f t="array" ref="E488">_xlfn.IFS(D488 &lt; 26, "Gen Z", D488 &lt;= 41, "Millennials", D488 &lt;= 57, "Gen X", D488 &gt;= 58, "Boomers")</f>
        <v>Gen Z</v>
      </c>
      <c r="F488" t="s">
        <v>17</v>
      </c>
      <c r="G488" t="s">
        <v>41</v>
      </c>
      <c r="H488">
        <v>140030</v>
      </c>
      <c r="I488" t="str" cm="1">
        <f t="array" ref="I488">_xlfn.IFS(H488 &lt; 30000, "Low", H488 &lt; 60000, "Medium", H488 &lt; 100000, "High", H488 &gt;= 100000, "Premium")</f>
        <v>Premium</v>
      </c>
      <c r="J488" t="s">
        <v>19</v>
      </c>
      <c r="K488" s="1">
        <v>44975</v>
      </c>
      <c r="L488">
        <f t="shared" ca="1" si="14"/>
        <v>3</v>
      </c>
      <c r="M488" t="str" cm="1">
        <f t="array" aca="1" ref="M488" ca="1">_xlfn.IFS( L488 &lt;=2, "New", L488&lt;=6, "Engaged", L488 &gt;6, "Loyal")</f>
        <v>Engaged</v>
      </c>
      <c r="N488">
        <f t="shared" si="15"/>
        <v>2023</v>
      </c>
    </row>
    <row r="489" spans="1:14" x14ac:dyDescent="0.25">
      <c r="A489" t="s">
        <v>997</v>
      </c>
      <c r="B489" t="s">
        <v>998</v>
      </c>
      <c r="C489" t="s">
        <v>16</v>
      </c>
      <c r="D489">
        <v>70</v>
      </c>
      <c r="E489" t="str" cm="1">
        <f t="array" ref="E489">_xlfn.IFS(D489 &lt; 26, "Gen Z", D489 &lt;= 41, "Millennials", D489 &lt;= 57, "Gen X", D489 &gt;= 58, "Boomers")</f>
        <v>Boomers</v>
      </c>
      <c r="F489" t="s">
        <v>11</v>
      </c>
      <c r="G489" t="s">
        <v>18</v>
      </c>
      <c r="H489">
        <v>76503</v>
      </c>
      <c r="I489" t="str" cm="1">
        <f t="array" ref="I489">_xlfn.IFS(H489 &lt; 30000, "Low", H489 &lt; 60000, "Medium", H489 &lt; 100000, "High", H489 &gt;= 100000, "Premium")</f>
        <v>High</v>
      </c>
      <c r="J489" t="s">
        <v>13</v>
      </c>
      <c r="K489" s="1">
        <v>45681</v>
      </c>
      <c r="L489">
        <f t="shared" ca="1" si="14"/>
        <v>1</v>
      </c>
      <c r="M489" t="str" cm="1">
        <f t="array" aca="1" ref="M489" ca="1">_xlfn.IFS( L489 &lt;=2, "New", L489&lt;=6, "Engaged", L489 &gt;6, "Loyal")</f>
        <v>New</v>
      </c>
      <c r="N489">
        <f t="shared" si="15"/>
        <v>2025</v>
      </c>
    </row>
    <row r="490" spans="1:14" x14ac:dyDescent="0.25">
      <c r="A490" t="s">
        <v>999</v>
      </c>
      <c r="B490" t="s">
        <v>1000</v>
      </c>
      <c r="C490" t="s">
        <v>10</v>
      </c>
      <c r="D490">
        <v>40</v>
      </c>
      <c r="E490" t="str" cm="1">
        <f t="array" ref="E490">_xlfn.IFS(D490 &lt; 26, "Gen Z", D490 &lt;= 41, "Millennials", D490 &lt;= 57, "Gen X", D490 &gt;= 58, "Boomers")</f>
        <v>Millennials</v>
      </c>
      <c r="F490" t="s">
        <v>29</v>
      </c>
      <c r="G490" t="s">
        <v>26</v>
      </c>
      <c r="H490">
        <v>157710</v>
      </c>
      <c r="I490" t="str" cm="1">
        <f t="array" ref="I490">_xlfn.IFS(H490 &lt; 30000, "Low", H490 &lt; 60000, "Medium", H490 &lt; 100000, "High", H490 &gt;= 100000, "Premium")</f>
        <v>Premium</v>
      </c>
      <c r="J490" t="s">
        <v>13</v>
      </c>
      <c r="K490" s="1">
        <v>45104</v>
      </c>
      <c r="L490">
        <f t="shared" ca="1" si="14"/>
        <v>2</v>
      </c>
      <c r="M490" t="str" cm="1">
        <f t="array" aca="1" ref="M490" ca="1">_xlfn.IFS( L490 &lt;=2, "New", L490&lt;=6, "Engaged", L490 &gt;6, "Loyal")</f>
        <v>New</v>
      </c>
      <c r="N490">
        <f t="shared" si="15"/>
        <v>2023</v>
      </c>
    </row>
    <row r="491" spans="1:14" x14ac:dyDescent="0.25">
      <c r="A491" t="s">
        <v>1001</v>
      </c>
      <c r="B491" t="s">
        <v>1002</v>
      </c>
      <c r="C491" t="s">
        <v>10</v>
      </c>
      <c r="D491">
        <v>54</v>
      </c>
      <c r="E491" t="str" cm="1">
        <f t="array" ref="E491">_xlfn.IFS(D491 &lt; 26, "Gen Z", D491 &lt;= 41, "Millennials", D491 &lt;= 57, "Gen X", D491 &gt;= 58, "Boomers")</f>
        <v>Gen X</v>
      </c>
      <c r="F491" t="s">
        <v>17</v>
      </c>
      <c r="G491" t="s">
        <v>36</v>
      </c>
      <c r="H491">
        <v>26570</v>
      </c>
      <c r="I491" t="str" cm="1">
        <f t="array" ref="I491">_xlfn.IFS(H491 &lt; 30000, "Low", H491 &lt; 60000, "Medium", H491 &lt; 100000, "High", H491 &gt;= 100000, "Premium")</f>
        <v>Low</v>
      </c>
      <c r="J491" t="s">
        <v>13</v>
      </c>
      <c r="K491" s="1">
        <v>44800</v>
      </c>
      <c r="L491">
        <f t="shared" ca="1" si="14"/>
        <v>3</v>
      </c>
      <c r="M491" t="str" cm="1">
        <f t="array" aca="1" ref="M491" ca="1">_xlfn.IFS( L491 &lt;=2, "New", L491&lt;=6, "Engaged", L491 &gt;6, "Loyal")</f>
        <v>Engaged</v>
      </c>
      <c r="N491">
        <f t="shared" si="15"/>
        <v>2022</v>
      </c>
    </row>
    <row r="492" spans="1:14" x14ac:dyDescent="0.25">
      <c r="A492" t="s">
        <v>1003</v>
      </c>
      <c r="B492" t="s">
        <v>1004</v>
      </c>
      <c r="C492" t="s">
        <v>16</v>
      </c>
      <c r="D492">
        <v>70</v>
      </c>
      <c r="E492" t="str" cm="1">
        <f t="array" ref="E492">_xlfn.IFS(D492 &lt; 26, "Gen Z", D492 &lt;= 41, "Millennials", D492 &lt;= 57, "Gen X", D492 &gt;= 58, "Boomers")</f>
        <v>Boomers</v>
      </c>
      <c r="F492" t="s">
        <v>33</v>
      </c>
      <c r="G492" t="s">
        <v>30</v>
      </c>
      <c r="H492">
        <v>88785</v>
      </c>
      <c r="I492" t="str" cm="1">
        <f t="array" ref="I492">_xlfn.IFS(H492 &lt; 30000, "Low", H492 &lt; 60000, "Medium", H492 &lt; 100000, "High", H492 &gt;= 100000, "Premium")</f>
        <v>High</v>
      </c>
      <c r="J492" t="s">
        <v>19</v>
      </c>
      <c r="K492" s="1">
        <v>44778</v>
      </c>
      <c r="L492">
        <f t="shared" ca="1" si="14"/>
        <v>3</v>
      </c>
      <c r="M492" t="str" cm="1">
        <f t="array" aca="1" ref="M492" ca="1">_xlfn.IFS( L492 &lt;=2, "New", L492&lt;=6, "Engaged", L492 &gt;6, "Loyal")</f>
        <v>Engaged</v>
      </c>
      <c r="N492">
        <f t="shared" si="15"/>
        <v>2022</v>
      </c>
    </row>
    <row r="493" spans="1:14" x14ac:dyDescent="0.25">
      <c r="A493" t="s">
        <v>1005</v>
      </c>
      <c r="B493" t="s">
        <v>1006</v>
      </c>
      <c r="C493" t="s">
        <v>10</v>
      </c>
      <c r="D493">
        <v>54</v>
      </c>
      <c r="E493" t="str" cm="1">
        <f t="array" ref="E493">_xlfn.IFS(D493 &lt; 26, "Gen Z", D493 &lt;= 41, "Millennials", D493 &lt;= 57, "Gen X", D493 &gt;= 58, "Boomers")</f>
        <v>Gen X</v>
      </c>
      <c r="F493" t="s">
        <v>33</v>
      </c>
      <c r="G493" t="s">
        <v>36</v>
      </c>
      <c r="H493">
        <v>29110</v>
      </c>
      <c r="I493" t="str" cm="1">
        <f t="array" ref="I493">_xlfn.IFS(H493 &lt; 30000, "Low", H493 &lt; 60000, "Medium", H493 &lt; 100000, "High", H493 &gt;= 100000, "Premium")</f>
        <v>Low</v>
      </c>
      <c r="J493" t="s">
        <v>13</v>
      </c>
      <c r="K493" s="1">
        <v>44859</v>
      </c>
      <c r="L493">
        <f t="shared" ca="1" si="14"/>
        <v>3</v>
      </c>
      <c r="M493" t="str" cm="1">
        <f t="array" aca="1" ref="M493" ca="1">_xlfn.IFS( L493 &lt;=2, "New", L493&lt;=6, "Engaged", L493 &gt;6, "Loyal")</f>
        <v>Engaged</v>
      </c>
      <c r="N493">
        <f t="shared" si="15"/>
        <v>2022</v>
      </c>
    </row>
    <row r="494" spans="1:14" x14ac:dyDescent="0.25">
      <c r="A494" t="s">
        <v>1007</v>
      </c>
      <c r="B494" t="s">
        <v>1008</v>
      </c>
      <c r="C494" t="s">
        <v>10</v>
      </c>
      <c r="D494">
        <v>27</v>
      </c>
      <c r="E494" t="str" cm="1">
        <f t="array" ref="E494">_xlfn.IFS(D494 &lt; 26, "Gen Z", D494 &lt;= 41, "Millennials", D494 &lt;= 57, "Gen X", D494 &gt;= 58, "Boomers")</f>
        <v>Millennials</v>
      </c>
      <c r="F494" t="s">
        <v>29</v>
      </c>
      <c r="G494" t="s">
        <v>12</v>
      </c>
      <c r="H494">
        <v>99141</v>
      </c>
      <c r="I494" t="str" cm="1">
        <f t="array" ref="I494">_xlfn.IFS(H494 &lt; 30000, "Low", H494 &lt; 60000, "Medium", H494 &lt; 100000, "High", H494 &gt;= 100000, "Premium")</f>
        <v>High</v>
      </c>
      <c r="J494" t="s">
        <v>13</v>
      </c>
      <c r="K494" s="1">
        <v>45393</v>
      </c>
      <c r="L494">
        <f t="shared" ca="1" si="14"/>
        <v>2</v>
      </c>
      <c r="M494" t="str" cm="1">
        <f t="array" aca="1" ref="M494" ca="1">_xlfn.IFS( L494 &lt;=2, "New", L494&lt;=6, "Engaged", L494 &gt;6, "Loyal")</f>
        <v>New</v>
      </c>
      <c r="N494">
        <f t="shared" si="15"/>
        <v>2024</v>
      </c>
    </row>
    <row r="495" spans="1:14" x14ac:dyDescent="0.25">
      <c r="A495" t="s">
        <v>1009</v>
      </c>
      <c r="B495" t="s">
        <v>1010</v>
      </c>
      <c r="C495" t="s">
        <v>16</v>
      </c>
      <c r="D495">
        <v>27</v>
      </c>
      <c r="E495" t="str" cm="1">
        <f t="array" ref="E495">_xlfn.IFS(D495 &lt; 26, "Gen Z", D495 &lt;= 41, "Millennials", D495 &lt;= 57, "Gen X", D495 &gt;= 58, "Boomers")</f>
        <v>Millennials</v>
      </c>
      <c r="F495" t="s">
        <v>33</v>
      </c>
      <c r="G495" t="s">
        <v>26</v>
      </c>
      <c r="H495">
        <v>32115</v>
      </c>
      <c r="I495" t="str" cm="1">
        <f t="array" ref="I495">_xlfn.IFS(H495 &lt; 30000, "Low", H495 &lt; 60000, "Medium", H495 &lt; 100000, "High", H495 &gt;= 100000, "Premium")</f>
        <v>Medium</v>
      </c>
      <c r="J495" t="s">
        <v>13</v>
      </c>
      <c r="K495" s="1">
        <v>44267</v>
      </c>
      <c r="L495">
        <f t="shared" ca="1" si="14"/>
        <v>5</v>
      </c>
      <c r="M495" t="str" cm="1">
        <f t="array" aca="1" ref="M495" ca="1">_xlfn.IFS( L495 &lt;=2, "New", L495&lt;=6, "Engaged", L495 &gt;6, "Loyal")</f>
        <v>Engaged</v>
      </c>
      <c r="N495">
        <f t="shared" si="15"/>
        <v>2021</v>
      </c>
    </row>
    <row r="496" spans="1:14" x14ac:dyDescent="0.25">
      <c r="A496" t="s">
        <v>1011</v>
      </c>
      <c r="B496" t="s">
        <v>1012</v>
      </c>
      <c r="C496" t="s">
        <v>10</v>
      </c>
      <c r="D496">
        <v>36</v>
      </c>
      <c r="E496" t="str" cm="1">
        <f t="array" ref="E496">_xlfn.IFS(D496 &lt; 26, "Gen Z", D496 &lt;= 41, "Millennials", D496 &lt;= 57, "Gen X", D496 &gt;= 58, "Boomers")</f>
        <v>Millennials</v>
      </c>
      <c r="F496" t="s">
        <v>33</v>
      </c>
      <c r="G496" t="s">
        <v>30</v>
      </c>
      <c r="H496">
        <v>59062</v>
      </c>
      <c r="I496" t="str" cm="1">
        <f t="array" ref="I496">_xlfn.IFS(H496 &lt; 30000, "Low", H496 &lt; 60000, "Medium", H496 &lt; 100000, "High", H496 &gt;= 100000, "Premium")</f>
        <v>Medium</v>
      </c>
      <c r="J496" t="s">
        <v>13</v>
      </c>
      <c r="K496" s="1">
        <v>44585</v>
      </c>
      <c r="L496">
        <f t="shared" ca="1" si="14"/>
        <v>4</v>
      </c>
      <c r="M496" t="str" cm="1">
        <f t="array" aca="1" ref="M496" ca="1">_xlfn.IFS( L496 &lt;=2, "New", L496&lt;=6, "Engaged", L496 &gt;6, "Loyal")</f>
        <v>Engaged</v>
      </c>
      <c r="N496">
        <f t="shared" si="15"/>
        <v>2022</v>
      </c>
    </row>
    <row r="497" spans="1:14" x14ac:dyDescent="0.25">
      <c r="A497" t="s">
        <v>1013</v>
      </c>
      <c r="B497" t="s">
        <v>1014</v>
      </c>
      <c r="C497" t="s">
        <v>10</v>
      </c>
      <c r="D497">
        <v>34</v>
      </c>
      <c r="E497" t="str" cm="1">
        <f t="array" ref="E497">_xlfn.IFS(D497 &lt; 26, "Gen Z", D497 &lt;= 41, "Millennials", D497 &lt;= 57, "Gen X", D497 &gt;= 58, "Boomers")</f>
        <v>Millennials</v>
      </c>
      <c r="F497" t="s">
        <v>29</v>
      </c>
      <c r="G497" t="s">
        <v>30</v>
      </c>
      <c r="H497">
        <v>42911</v>
      </c>
      <c r="I497" t="str" cm="1">
        <f t="array" ref="I497">_xlfn.IFS(H497 &lt; 30000, "Low", H497 &lt; 60000, "Medium", H497 &lt; 100000, "High", H497 &gt;= 100000, "Premium")</f>
        <v>Medium</v>
      </c>
      <c r="J497" t="s">
        <v>19</v>
      </c>
      <c r="K497" s="1">
        <v>42920</v>
      </c>
      <c r="L497">
        <f t="shared" ca="1" si="14"/>
        <v>8</v>
      </c>
      <c r="M497" t="str" cm="1">
        <f t="array" aca="1" ref="M497" ca="1">_xlfn.IFS( L497 &lt;=2, "New", L497&lt;=6, "Engaged", L497 &gt;6, "Loyal")</f>
        <v>Loyal</v>
      </c>
      <c r="N497">
        <f t="shared" si="15"/>
        <v>2017</v>
      </c>
    </row>
    <row r="498" spans="1:14" x14ac:dyDescent="0.25">
      <c r="A498" t="s">
        <v>1015</v>
      </c>
      <c r="B498" t="s">
        <v>1016</v>
      </c>
      <c r="C498" t="s">
        <v>10</v>
      </c>
      <c r="D498">
        <v>38</v>
      </c>
      <c r="E498" t="str" cm="1">
        <f t="array" ref="E498">_xlfn.IFS(D498 &lt; 26, "Gen Z", D498 &lt;= 41, "Millennials", D498 &lt;= 57, "Gen X", D498 &gt;= 58, "Boomers")</f>
        <v>Millennials</v>
      </c>
      <c r="F498" t="s">
        <v>17</v>
      </c>
      <c r="G498" t="s">
        <v>22</v>
      </c>
      <c r="H498">
        <v>124061</v>
      </c>
      <c r="I498" t="str" cm="1">
        <f t="array" ref="I498">_xlfn.IFS(H498 &lt; 30000, "Low", H498 &lt; 60000, "Medium", H498 &lt; 100000, "High", H498 &gt;= 100000, "Premium")</f>
        <v>Premium</v>
      </c>
      <c r="J498" t="s">
        <v>19</v>
      </c>
      <c r="K498" s="1">
        <v>45451</v>
      </c>
      <c r="L498">
        <f t="shared" ca="1" si="14"/>
        <v>1</v>
      </c>
      <c r="M498" t="str" cm="1">
        <f t="array" aca="1" ref="M498" ca="1">_xlfn.IFS( L498 &lt;=2, "New", L498&lt;=6, "Engaged", L498 &gt;6, "Loyal")</f>
        <v>New</v>
      </c>
      <c r="N498">
        <f t="shared" si="15"/>
        <v>2024</v>
      </c>
    </row>
    <row r="499" spans="1:14" x14ac:dyDescent="0.25">
      <c r="A499" t="s">
        <v>1017</v>
      </c>
      <c r="B499" t="s">
        <v>1018</v>
      </c>
      <c r="C499" t="s">
        <v>16</v>
      </c>
      <c r="D499">
        <v>31</v>
      </c>
      <c r="E499" t="str" cm="1">
        <f t="array" ref="E499">_xlfn.IFS(D499 &lt; 26, "Gen Z", D499 &lt;= 41, "Millennials", D499 &lt;= 57, "Gen X", D499 &gt;= 58, "Boomers")</f>
        <v>Millennials</v>
      </c>
      <c r="F499" t="s">
        <v>17</v>
      </c>
      <c r="G499" t="s">
        <v>18</v>
      </c>
      <c r="H499">
        <v>52556</v>
      </c>
      <c r="I499" t="str" cm="1">
        <f t="array" ref="I499">_xlfn.IFS(H499 &lt; 30000, "Low", H499 &lt; 60000, "Medium", H499 &lt; 100000, "High", H499 &gt;= 100000, "Premium")</f>
        <v>Medium</v>
      </c>
      <c r="J499" t="s">
        <v>19</v>
      </c>
      <c r="K499" s="1">
        <v>42561</v>
      </c>
      <c r="L499">
        <f t="shared" ca="1" si="14"/>
        <v>9</v>
      </c>
      <c r="M499" t="str" cm="1">
        <f t="array" aca="1" ref="M499" ca="1">_xlfn.IFS( L499 &lt;=2, "New", L499&lt;=6, "Engaged", L499 &gt;6, "Loyal")</f>
        <v>Loyal</v>
      </c>
      <c r="N499">
        <f t="shared" si="15"/>
        <v>2016</v>
      </c>
    </row>
    <row r="500" spans="1:14" x14ac:dyDescent="0.25">
      <c r="A500" t="s">
        <v>1019</v>
      </c>
      <c r="B500" t="s">
        <v>1020</v>
      </c>
      <c r="C500" t="s">
        <v>10</v>
      </c>
      <c r="D500">
        <v>26</v>
      </c>
      <c r="E500" t="str" cm="1">
        <f t="array" ref="E500">_xlfn.IFS(D500 &lt; 26, "Gen Z", D500 &lt;= 41, "Millennials", D500 &lt;= 57, "Gen X", D500 &gt;= 58, "Boomers")</f>
        <v>Millennials</v>
      </c>
      <c r="F500" t="s">
        <v>33</v>
      </c>
      <c r="G500" t="s">
        <v>22</v>
      </c>
      <c r="H500">
        <v>148335</v>
      </c>
      <c r="I500" t="str" cm="1">
        <f t="array" ref="I500">_xlfn.IFS(H500 &lt; 30000, "Low", H500 &lt; 60000, "Medium", H500 &lt; 100000, "High", H500 &gt;= 100000, "Premium")</f>
        <v>Premium</v>
      </c>
      <c r="J500" t="s">
        <v>13</v>
      </c>
      <c r="K500" s="1">
        <v>45443</v>
      </c>
      <c r="L500">
        <f t="shared" ca="1" si="14"/>
        <v>1</v>
      </c>
      <c r="M500" t="str" cm="1">
        <f t="array" aca="1" ref="M500" ca="1">_xlfn.IFS( L500 &lt;=2, "New", L500&lt;=6, "Engaged", L500 &gt;6, "Loyal")</f>
        <v>New</v>
      </c>
      <c r="N500">
        <f t="shared" si="15"/>
        <v>2024</v>
      </c>
    </row>
    <row r="501" spans="1:14" x14ac:dyDescent="0.25">
      <c r="A501" t="s">
        <v>1021</v>
      </c>
      <c r="B501" t="s">
        <v>1022</v>
      </c>
      <c r="C501" t="s">
        <v>16</v>
      </c>
      <c r="D501">
        <v>63</v>
      </c>
      <c r="E501" t="str" cm="1">
        <f t="array" ref="E501">_xlfn.IFS(D501 &lt; 26, "Gen Z", D501 &lt;= 41, "Millennials", D501 &lt;= 57, "Gen X", D501 &gt;= 58, "Boomers")</f>
        <v>Boomers</v>
      </c>
      <c r="F501" t="s">
        <v>33</v>
      </c>
      <c r="G501" t="s">
        <v>30</v>
      </c>
      <c r="H501">
        <v>21969</v>
      </c>
      <c r="I501" t="str" cm="1">
        <f t="array" ref="I501">_xlfn.IFS(H501 &lt; 30000, "Low", H501 &lt; 60000, "Medium", H501 &lt; 100000, "High", H501 &gt;= 100000, "Premium")</f>
        <v>Low</v>
      </c>
      <c r="J501" t="s">
        <v>19</v>
      </c>
      <c r="K501" s="1">
        <v>45488</v>
      </c>
      <c r="L501">
        <f t="shared" ca="1" si="14"/>
        <v>1</v>
      </c>
      <c r="M501" t="str" cm="1">
        <f t="array" aca="1" ref="M501" ca="1">_xlfn.IFS( L501 &lt;=2, "New", L501&lt;=6, "Engaged", L501 &gt;6, "Loyal")</f>
        <v>New</v>
      </c>
      <c r="N501">
        <f t="shared" si="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AFAF-844C-4792-B531-94DF37B7D0C9}">
  <dimension ref="A3:L42"/>
  <sheetViews>
    <sheetView topLeftCell="A4" zoomScale="85" zoomScaleNormal="142" workbookViewId="0">
      <selection activeCell="A40" sqref="A40:A52"/>
    </sheetView>
  </sheetViews>
  <sheetFormatPr defaultRowHeight="15" x14ac:dyDescent="0.25"/>
  <cols>
    <col min="1" max="1" width="20.5703125" bestFit="1" customWidth="1"/>
    <col min="2" max="2" width="17.85546875" bestFit="1" customWidth="1"/>
    <col min="3" max="3" width="14.5703125" bestFit="1" customWidth="1"/>
    <col min="4" max="4" width="11.28515625" bestFit="1" customWidth="1"/>
    <col min="5" max="5" width="14.28515625" bestFit="1" customWidth="1"/>
    <col min="6" max="6" width="14.5703125" bestFit="1" customWidth="1"/>
    <col min="7" max="7" width="14.7109375" bestFit="1" customWidth="1"/>
    <col min="8" max="8" width="21" bestFit="1" customWidth="1"/>
    <col min="9" max="9" width="14.7109375" bestFit="1" customWidth="1"/>
    <col min="10" max="10" width="8.28515625" bestFit="1" customWidth="1"/>
    <col min="11" max="11" width="9.140625" bestFit="1" customWidth="1"/>
    <col min="12" max="12" width="11.28515625" bestFit="1" customWidth="1"/>
    <col min="17" max="17" width="21" bestFit="1" customWidth="1"/>
    <col min="24" max="24" width="13.42578125" bestFit="1" customWidth="1"/>
  </cols>
  <sheetData>
    <row r="3" spans="1:12" x14ac:dyDescent="0.25">
      <c r="A3" s="2" t="s">
        <v>1029</v>
      </c>
      <c r="B3" s="2" t="s">
        <v>1028</v>
      </c>
      <c r="G3" s="2" t="s">
        <v>1029</v>
      </c>
      <c r="H3" s="2" t="s">
        <v>1028</v>
      </c>
    </row>
    <row r="4" spans="1:12" x14ac:dyDescent="0.25">
      <c r="A4" s="2" t="s">
        <v>4</v>
      </c>
      <c r="B4" t="s">
        <v>16</v>
      </c>
      <c r="C4" t="s">
        <v>10</v>
      </c>
      <c r="D4" t="s">
        <v>1027</v>
      </c>
      <c r="G4" s="2" t="s">
        <v>1039</v>
      </c>
      <c r="H4" t="s">
        <v>1035</v>
      </c>
      <c r="I4" t="s">
        <v>1036</v>
      </c>
      <c r="J4" t="s">
        <v>1037</v>
      </c>
      <c r="K4" t="s">
        <v>1038</v>
      </c>
      <c r="L4" t="s">
        <v>1027</v>
      </c>
    </row>
    <row r="5" spans="1:12" x14ac:dyDescent="0.25">
      <c r="A5" s="3" t="s">
        <v>17</v>
      </c>
      <c r="B5">
        <v>71</v>
      </c>
      <c r="C5">
        <v>62</v>
      </c>
      <c r="D5">
        <v>133</v>
      </c>
      <c r="G5" s="3" t="s">
        <v>1031</v>
      </c>
      <c r="H5">
        <v>36</v>
      </c>
      <c r="I5">
        <v>5</v>
      </c>
      <c r="J5">
        <v>14</v>
      </c>
      <c r="K5">
        <v>90</v>
      </c>
      <c r="L5">
        <v>145</v>
      </c>
    </row>
    <row r="6" spans="1:12" x14ac:dyDescent="0.25">
      <c r="A6" s="3" t="s">
        <v>11</v>
      </c>
      <c r="B6">
        <v>57</v>
      </c>
      <c r="C6">
        <v>63</v>
      </c>
      <c r="D6">
        <v>120</v>
      </c>
      <c r="G6" s="3" t="s">
        <v>1032</v>
      </c>
      <c r="H6">
        <v>34</v>
      </c>
      <c r="I6">
        <v>11</v>
      </c>
      <c r="J6">
        <v>23</v>
      </c>
      <c r="K6">
        <v>85</v>
      </c>
      <c r="L6">
        <v>153</v>
      </c>
    </row>
    <row r="7" spans="1:12" x14ac:dyDescent="0.25">
      <c r="A7" s="3" t="s">
        <v>33</v>
      </c>
      <c r="B7">
        <v>70</v>
      </c>
      <c r="C7">
        <v>67</v>
      </c>
      <c r="D7">
        <v>137</v>
      </c>
      <c r="G7" s="3" t="s">
        <v>1033</v>
      </c>
      <c r="H7">
        <v>18</v>
      </c>
      <c r="I7">
        <v>3</v>
      </c>
      <c r="J7">
        <v>11</v>
      </c>
      <c r="K7">
        <v>30</v>
      </c>
      <c r="L7">
        <v>62</v>
      </c>
    </row>
    <row r="8" spans="1:12" x14ac:dyDescent="0.25">
      <c r="A8" s="3" t="s">
        <v>29</v>
      </c>
      <c r="B8">
        <v>58</v>
      </c>
      <c r="C8">
        <v>52</v>
      </c>
      <c r="D8">
        <v>110</v>
      </c>
      <c r="G8" s="3" t="s">
        <v>1034</v>
      </c>
      <c r="H8">
        <v>27</v>
      </c>
      <c r="I8">
        <v>7</v>
      </c>
      <c r="J8">
        <v>22</v>
      </c>
      <c r="K8">
        <v>84</v>
      </c>
      <c r="L8">
        <v>140</v>
      </c>
    </row>
    <row r="9" spans="1:12" x14ac:dyDescent="0.25">
      <c r="A9" s="3" t="s">
        <v>1027</v>
      </c>
      <c r="B9">
        <v>256</v>
      </c>
      <c r="C9">
        <v>244</v>
      </c>
      <c r="D9">
        <v>500</v>
      </c>
      <c r="G9" s="3" t="s">
        <v>1027</v>
      </c>
      <c r="H9">
        <v>115</v>
      </c>
      <c r="I9">
        <v>26</v>
      </c>
      <c r="J9">
        <v>70</v>
      </c>
      <c r="K9">
        <v>289</v>
      </c>
      <c r="L9">
        <v>500</v>
      </c>
    </row>
    <row r="13" spans="1:12" x14ac:dyDescent="0.25">
      <c r="A13" s="2" t="s">
        <v>1040</v>
      </c>
      <c r="B13" t="s">
        <v>1029</v>
      </c>
      <c r="C13" t="s">
        <v>1042</v>
      </c>
      <c r="G13" s="2" t="s">
        <v>1040</v>
      </c>
      <c r="H13" t="s">
        <v>1029</v>
      </c>
      <c r="I13" t="s">
        <v>1042</v>
      </c>
    </row>
    <row r="14" spans="1:12" x14ac:dyDescent="0.25">
      <c r="A14" s="3" t="s">
        <v>19</v>
      </c>
      <c r="B14">
        <v>169</v>
      </c>
      <c r="C14">
        <v>112910.04142011834</v>
      </c>
      <c r="G14" s="3" t="s">
        <v>1043</v>
      </c>
      <c r="H14">
        <v>164</v>
      </c>
      <c r="I14">
        <v>110380.18292682926</v>
      </c>
    </row>
    <row r="15" spans="1:12" x14ac:dyDescent="0.25">
      <c r="A15" s="3" t="s">
        <v>23</v>
      </c>
      <c r="B15">
        <v>45</v>
      </c>
      <c r="C15">
        <v>118774.17777777778</v>
      </c>
      <c r="G15" s="3" t="s">
        <v>1044</v>
      </c>
      <c r="H15">
        <v>137</v>
      </c>
      <c r="I15">
        <v>120547.32846715329</v>
      </c>
    </row>
    <row r="16" spans="1:12" x14ac:dyDescent="0.25">
      <c r="A16" s="3" t="s">
        <v>13</v>
      </c>
      <c r="B16">
        <v>286</v>
      </c>
      <c r="C16">
        <v>114590.12587412588</v>
      </c>
      <c r="G16" s="3" t="s">
        <v>1049</v>
      </c>
      <c r="H16">
        <v>199</v>
      </c>
      <c r="I16">
        <v>113477.77386934674</v>
      </c>
    </row>
    <row r="17" spans="1:12" x14ac:dyDescent="0.25">
      <c r="A17" s="3" t="s">
        <v>1027</v>
      </c>
      <c r="B17">
        <v>500</v>
      </c>
      <c r="C17">
        <v>114398.822</v>
      </c>
      <c r="G17" s="3" t="s">
        <v>1027</v>
      </c>
      <c r="H17">
        <v>500</v>
      </c>
      <c r="I17">
        <v>114398.822</v>
      </c>
    </row>
    <row r="21" spans="1:12" x14ac:dyDescent="0.25">
      <c r="A21" t="s">
        <v>1030</v>
      </c>
      <c r="K21" s="2" t="s">
        <v>1040</v>
      </c>
      <c r="L21" t="s">
        <v>1029</v>
      </c>
    </row>
    <row r="22" spans="1:12" x14ac:dyDescent="0.25">
      <c r="A22">
        <v>500</v>
      </c>
      <c r="C22" t="s">
        <v>1041</v>
      </c>
      <c r="K22" s="3" t="s">
        <v>16</v>
      </c>
      <c r="L22" s="5">
        <v>256</v>
      </c>
    </row>
    <row r="23" spans="1:12" x14ac:dyDescent="0.25">
      <c r="C23" s="6">
        <v>57199411</v>
      </c>
      <c r="K23" s="3" t="s">
        <v>10</v>
      </c>
      <c r="L23" s="5">
        <v>244</v>
      </c>
    </row>
    <row r="24" spans="1:12" x14ac:dyDescent="0.25">
      <c r="A24" t="s">
        <v>1042</v>
      </c>
      <c r="H24" s="2" t="s">
        <v>1040</v>
      </c>
      <c r="I24" t="s">
        <v>1029</v>
      </c>
      <c r="K24" s="3" t="s">
        <v>1027</v>
      </c>
      <c r="L24" s="5">
        <v>500</v>
      </c>
    </row>
    <row r="25" spans="1:12" x14ac:dyDescent="0.25">
      <c r="A25" s="6">
        <v>114398.822</v>
      </c>
      <c r="C25" t="s">
        <v>1045</v>
      </c>
      <c r="E25" t="s">
        <v>1046</v>
      </c>
      <c r="H25" s="3" t="s">
        <v>17</v>
      </c>
      <c r="I25" s="5">
        <v>133</v>
      </c>
    </row>
    <row r="26" spans="1:12" x14ac:dyDescent="0.25">
      <c r="C26" s="5">
        <v>4.82</v>
      </c>
      <c r="E26" s="5">
        <v>46.28</v>
      </c>
      <c r="H26" s="3" t="s">
        <v>11</v>
      </c>
      <c r="I26" s="5">
        <v>120</v>
      </c>
    </row>
    <row r="27" spans="1:12" x14ac:dyDescent="0.25">
      <c r="H27" s="3" t="s">
        <v>33</v>
      </c>
      <c r="I27" s="5">
        <v>137</v>
      </c>
    </row>
    <row r="28" spans="1:12" x14ac:dyDescent="0.25">
      <c r="E28" s="2" t="s">
        <v>1040</v>
      </c>
      <c r="F28" t="s">
        <v>1041</v>
      </c>
      <c r="H28" s="3" t="s">
        <v>29</v>
      </c>
      <c r="I28" s="5">
        <v>110</v>
      </c>
    </row>
    <row r="29" spans="1:12" x14ac:dyDescent="0.25">
      <c r="E29" s="3">
        <v>2015</v>
      </c>
      <c r="F29" s="6">
        <v>1924493</v>
      </c>
      <c r="H29" s="3" t="s">
        <v>1027</v>
      </c>
      <c r="I29" s="5">
        <v>500</v>
      </c>
    </row>
    <row r="30" spans="1:12" x14ac:dyDescent="0.25">
      <c r="E30" s="3">
        <v>2016</v>
      </c>
      <c r="F30" s="6">
        <v>4278907</v>
      </c>
      <c r="K30" s="2" t="s">
        <v>1040</v>
      </c>
      <c r="L30" t="s">
        <v>1029</v>
      </c>
    </row>
    <row r="31" spans="1:12" x14ac:dyDescent="0.25">
      <c r="A31" s="2" t="s">
        <v>1040</v>
      </c>
      <c r="B31" t="s">
        <v>1042</v>
      </c>
      <c r="E31" s="3">
        <v>2017</v>
      </c>
      <c r="F31" s="6">
        <v>7477928</v>
      </c>
      <c r="K31" s="3" t="s">
        <v>1043</v>
      </c>
      <c r="L31" s="5">
        <v>164</v>
      </c>
    </row>
    <row r="32" spans="1:12" x14ac:dyDescent="0.25">
      <c r="A32" s="3" t="s">
        <v>1031</v>
      </c>
      <c r="B32" s="6">
        <v>119081.06206896552</v>
      </c>
      <c r="E32" s="3">
        <v>2018</v>
      </c>
      <c r="F32" s="6">
        <v>5244142</v>
      </c>
      <c r="K32" s="3" t="s">
        <v>1044</v>
      </c>
      <c r="L32" s="5">
        <v>137</v>
      </c>
    </row>
    <row r="33" spans="1:12" x14ac:dyDescent="0.25">
      <c r="A33" s="3" t="s">
        <v>1032</v>
      </c>
      <c r="B33" s="6">
        <v>112433.73202614379</v>
      </c>
      <c r="E33" s="3">
        <v>2019</v>
      </c>
      <c r="F33" s="6">
        <v>6721175</v>
      </c>
      <c r="K33" s="3" t="s">
        <v>1049</v>
      </c>
      <c r="L33" s="5">
        <v>199</v>
      </c>
    </row>
    <row r="34" spans="1:12" x14ac:dyDescent="0.25">
      <c r="A34" s="3" t="s">
        <v>1033</v>
      </c>
      <c r="B34" s="6">
        <v>109671.45161290323</v>
      </c>
      <c r="E34" s="3">
        <v>2020</v>
      </c>
      <c r="F34" s="6">
        <v>5432458</v>
      </c>
      <c r="K34" s="3" t="s">
        <v>1027</v>
      </c>
      <c r="L34" s="5">
        <v>500</v>
      </c>
    </row>
    <row r="35" spans="1:12" x14ac:dyDescent="0.25">
      <c r="A35" s="3" t="s">
        <v>1034</v>
      </c>
      <c r="B35" s="6">
        <v>113790.47142857143</v>
      </c>
      <c r="E35" s="3">
        <v>2021</v>
      </c>
      <c r="F35" s="6">
        <v>5523777</v>
      </c>
    </row>
    <row r="36" spans="1:12" x14ac:dyDescent="0.25">
      <c r="A36" s="3" t="s">
        <v>1027</v>
      </c>
      <c r="B36" s="5">
        <v>114398.822</v>
      </c>
      <c r="E36" s="3">
        <v>2022</v>
      </c>
      <c r="F36" s="6">
        <v>5709427</v>
      </c>
    </row>
    <row r="37" spans="1:12" x14ac:dyDescent="0.25">
      <c r="E37" s="3">
        <v>2023</v>
      </c>
      <c r="F37" s="6">
        <v>6097261</v>
      </c>
    </row>
    <row r="38" spans="1:12" x14ac:dyDescent="0.25">
      <c r="E38" s="3">
        <v>2024</v>
      </c>
      <c r="F38" s="6">
        <v>6275575</v>
      </c>
      <c r="H38" s="2" t="s">
        <v>1040</v>
      </c>
      <c r="I38" t="s">
        <v>1029</v>
      </c>
    </row>
    <row r="39" spans="1:12" x14ac:dyDescent="0.25">
      <c r="E39" s="3">
        <v>2025</v>
      </c>
      <c r="F39" s="6">
        <v>2514268</v>
      </c>
      <c r="H39" s="3" t="s">
        <v>19</v>
      </c>
      <c r="I39" s="5">
        <v>169</v>
      </c>
    </row>
    <row r="40" spans="1:12" x14ac:dyDescent="0.25">
      <c r="E40" s="3" t="s">
        <v>1027</v>
      </c>
      <c r="F40" s="6">
        <v>57199411</v>
      </c>
      <c r="H40" s="3" t="s">
        <v>23</v>
      </c>
      <c r="I40" s="5">
        <v>45</v>
      </c>
    </row>
    <row r="41" spans="1:12" x14ac:dyDescent="0.25">
      <c r="H41" s="3" t="s">
        <v>13</v>
      </c>
      <c r="I41" s="5">
        <v>286</v>
      </c>
    </row>
    <row r="42" spans="1:12" x14ac:dyDescent="0.25">
      <c r="H42" s="3" t="s">
        <v>1027</v>
      </c>
      <c r="I42" s="5">
        <v>500</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5C4C-5BA1-45E5-9C5A-D898B0EEE238}">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AD2C-43F1-4891-AB8B-BFA8A2687B15}">
  <dimension ref="A1:AU241"/>
  <sheetViews>
    <sheetView topLeftCell="AM2" zoomScale="80" workbookViewId="0">
      <selection activeCell="AU25" sqref="AU25"/>
    </sheetView>
  </sheetViews>
  <sheetFormatPr defaultRowHeight="15" x14ac:dyDescent="0.25"/>
  <cols>
    <col min="1" max="1" width="14.140625" bestFit="1" customWidth="1"/>
    <col min="2" max="2" width="18.85546875" bestFit="1" customWidth="1"/>
    <col min="4" max="4" width="14.140625" bestFit="1" customWidth="1"/>
    <col min="5" max="5" width="18.85546875" bestFit="1" customWidth="1"/>
    <col min="7" max="7" width="20.140625" bestFit="1" customWidth="1"/>
    <col min="8" max="8" width="15" bestFit="1" customWidth="1"/>
    <col min="9" max="9" width="18.7109375" bestFit="1" customWidth="1"/>
    <col min="10" max="10" width="14.140625" bestFit="1" customWidth="1"/>
    <col min="11" max="11" width="20.140625" bestFit="1" customWidth="1"/>
    <col min="13" max="13" width="23" bestFit="1" customWidth="1"/>
    <col min="14" max="14" width="18.140625" bestFit="1" customWidth="1"/>
    <col min="15" max="15" width="13" bestFit="1" customWidth="1"/>
    <col min="16" max="16" width="15" bestFit="1" customWidth="1"/>
    <col min="17" max="17" width="23" bestFit="1" customWidth="1"/>
    <col min="19" max="19" width="15" bestFit="1" customWidth="1"/>
    <col min="20" max="20" width="21" bestFit="1" customWidth="1"/>
    <col min="21" max="21" width="32.28515625" bestFit="1" customWidth="1"/>
    <col min="22" max="22" width="21" bestFit="1" customWidth="1"/>
    <col min="23" max="23" width="15" bestFit="1" customWidth="1"/>
    <col min="24" max="24" width="21" bestFit="1" customWidth="1"/>
    <col min="27" max="27" width="11.28515625" bestFit="1" customWidth="1"/>
    <col min="28" max="28" width="18.140625" bestFit="1" customWidth="1"/>
    <col min="31" max="31" width="17.140625" bestFit="1" customWidth="1"/>
    <col min="32" max="32" width="9.140625" bestFit="1" customWidth="1"/>
    <col min="34" max="34" width="15" bestFit="1" customWidth="1"/>
    <col min="35" max="35" width="21" bestFit="1" customWidth="1"/>
    <col min="36" max="36" width="20.140625" bestFit="1" customWidth="1"/>
    <col min="37" max="37" width="15" bestFit="1" customWidth="1"/>
    <col min="38" max="38" width="21" bestFit="1" customWidth="1"/>
    <col min="39" max="39" width="30.7109375" bestFit="1" customWidth="1"/>
    <col min="40" max="40" width="15" bestFit="1" customWidth="1"/>
    <col min="41" max="41" width="21" bestFit="1" customWidth="1"/>
    <col min="43" max="43" width="15.7109375" bestFit="1" customWidth="1"/>
    <col min="44" max="44" width="21" bestFit="1" customWidth="1"/>
    <col min="46" max="46" width="15.7109375" bestFit="1" customWidth="1"/>
    <col min="47" max="47" width="32.28515625" bestFit="1" customWidth="1"/>
  </cols>
  <sheetData>
    <row r="1" spans="1:47" x14ac:dyDescent="0.25">
      <c r="A1" s="2" t="s">
        <v>1050</v>
      </c>
      <c r="B1" t="s">
        <v>1056</v>
      </c>
      <c r="G1" s="2" t="s">
        <v>1050</v>
      </c>
      <c r="H1" t="s">
        <v>1055</v>
      </c>
      <c r="J1" s="2" t="s">
        <v>1050</v>
      </c>
      <c r="K1" t="s">
        <v>1060</v>
      </c>
      <c r="M1" t="s">
        <v>1061</v>
      </c>
      <c r="S1" s="2" t="s">
        <v>1065</v>
      </c>
      <c r="T1" t="s">
        <v>1130</v>
      </c>
      <c r="U1" t="s">
        <v>1132</v>
      </c>
      <c r="W1" s="2" t="s">
        <v>1065</v>
      </c>
      <c r="X1" t="s">
        <v>1130</v>
      </c>
      <c r="AE1" s="2" t="s">
        <v>1136</v>
      </c>
      <c r="AF1" t="s" vm="1">
        <v>1131</v>
      </c>
      <c r="AH1" s="2" t="s">
        <v>1065</v>
      </c>
      <c r="AI1" t="s">
        <v>1130</v>
      </c>
      <c r="AK1" t="s">
        <v>1138</v>
      </c>
      <c r="AM1" t="s">
        <v>1139</v>
      </c>
    </row>
    <row r="2" spans="1:47" x14ac:dyDescent="0.25">
      <c r="A2" s="3" t="s">
        <v>1051</v>
      </c>
      <c r="B2">
        <v>246</v>
      </c>
      <c r="G2" s="3" t="s">
        <v>1051</v>
      </c>
      <c r="H2" s="8">
        <v>67663129</v>
      </c>
      <c r="J2" s="3"/>
      <c r="K2" s="8">
        <v>34294602</v>
      </c>
      <c r="M2" s="5">
        <v>579.52625</v>
      </c>
      <c r="S2" s="3" t="s">
        <v>1149</v>
      </c>
      <c r="T2" s="5">
        <v>69</v>
      </c>
      <c r="U2" s="5">
        <v>30.76125</v>
      </c>
      <c r="W2" s="3" t="s">
        <v>1133</v>
      </c>
      <c r="X2" s="5">
        <v>172</v>
      </c>
      <c r="AA2" t="s">
        <v>1050</v>
      </c>
      <c r="AB2" t="s">
        <v>1056</v>
      </c>
      <c r="AC2">
        <f>COUNTIF(AB2:AB239,"&gt;=2")</f>
        <v>237</v>
      </c>
      <c r="AH2" s="3" t="s">
        <v>1035</v>
      </c>
      <c r="AI2" s="5">
        <v>167</v>
      </c>
      <c r="AK2" s="5">
        <v>289</v>
      </c>
      <c r="AM2" s="18">
        <v>0.80622837370242217</v>
      </c>
    </row>
    <row r="3" spans="1:47" x14ac:dyDescent="0.25">
      <c r="A3" s="3" t="s">
        <v>1052</v>
      </c>
      <c r="B3">
        <v>169</v>
      </c>
      <c r="D3" s="2" t="s">
        <v>1050</v>
      </c>
      <c r="E3" t="s">
        <v>1056</v>
      </c>
      <c r="G3" s="3" t="s">
        <v>1052</v>
      </c>
      <c r="H3" s="10">
        <v>43540576</v>
      </c>
      <c r="J3" s="3" t="s">
        <v>1057</v>
      </c>
      <c r="K3" s="10">
        <v>3677399</v>
      </c>
      <c r="S3" s="3" t="s">
        <v>1148</v>
      </c>
      <c r="T3" s="5">
        <v>54</v>
      </c>
      <c r="W3" s="3" t="s">
        <v>1134</v>
      </c>
      <c r="X3" s="5">
        <v>157</v>
      </c>
      <c r="AA3" t="s">
        <v>8</v>
      </c>
      <c r="AB3">
        <v>2</v>
      </c>
      <c r="AE3" t="s">
        <v>1137</v>
      </c>
      <c r="AH3" s="3" t="s">
        <v>1036</v>
      </c>
      <c r="AI3" s="5">
        <v>51</v>
      </c>
    </row>
    <row r="4" spans="1:47" x14ac:dyDescent="0.25">
      <c r="A4" s="3" t="s">
        <v>1053</v>
      </c>
      <c r="B4">
        <v>82</v>
      </c>
      <c r="D4" s="3" t="s">
        <v>8</v>
      </c>
      <c r="E4">
        <v>2</v>
      </c>
      <c r="G4" s="3" t="s">
        <v>1053</v>
      </c>
      <c r="H4" s="10">
        <v>23787377</v>
      </c>
      <c r="J4" s="3" t="s">
        <v>1058</v>
      </c>
      <c r="K4" s="10">
        <v>2413846</v>
      </c>
      <c r="S4" s="3" t="s">
        <v>1152</v>
      </c>
      <c r="T4" s="5">
        <v>67</v>
      </c>
      <c r="W4" s="3" t="s">
        <v>1135</v>
      </c>
      <c r="X4" s="5">
        <v>471</v>
      </c>
      <c r="AA4" t="s">
        <v>14</v>
      </c>
      <c r="AB4">
        <v>2</v>
      </c>
      <c r="AE4" s="5">
        <v>142</v>
      </c>
      <c r="AH4" s="3" t="s">
        <v>1037</v>
      </c>
      <c r="AI4" s="5">
        <v>129</v>
      </c>
    </row>
    <row r="5" spans="1:47" x14ac:dyDescent="0.25">
      <c r="A5" s="3" t="s">
        <v>1054</v>
      </c>
      <c r="B5">
        <v>303</v>
      </c>
      <c r="D5" s="3" t="s">
        <v>14</v>
      </c>
      <c r="E5">
        <v>2</v>
      </c>
      <c r="G5" s="3" t="s">
        <v>1054</v>
      </c>
      <c r="H5" s="10">
        <v>77350052</v>
      </c>
      <c r="J5" s="3" t="s">
        <v>1059</v>
      </c>
      <c r="K5" s="10">
        <v>3344817</v>
      </c>
      <c r="S5" s="3" t="s">
        <v>1145</v>
      </c>
      <c r="T5" s="5">
        <v>70</v>
      </c>
      <c r="W5" s="3" t="s">
        <v>1027</v>
      </c>
      <c r="X5" s="5">
        <v>800</v>
      </c>
      <c r="AA5" t="s">
        <v>37</v>
      </c>
      <c r="AB5">
        <v>4</v>
      </c>
      <c r="AH5" s="3" t="s">
        <v>1038</v>
      </c>
      <c r="AI5" s="5">
        <v>453</v>
      </c>
      <c r="AK5" s="2" t="s">
        <v>1065</v>
      </c>
      <c r="AL5" t="s">
        <v>1130</v>
      </c>
      <c r="AN5" s="2" t="s">
        <v>1065</v>
      </c>
      <c r="AO5" t="s">
        <v>1130</v>
      </c>
      <c r="AQ5" s="2" t="s">
        <v>1065</v>
      </c>
      <c r="AR5" t="s">
        <v>1130</v>
      </c>
      <c r="AT5" s="2" t="s">
        <v>1065</v>
      </c>
      <c r="AU5" t="s">
        <v>1132</v>
      </c>
    </row>
    <row r="6" spans="1:47" x14ac:dyDescent="0.25">
      <c r="A6" s="3" t="s">
        <v>1027</v>
      </c>
      <c r="B6">
        <v>800</v>
      </c>
      <c r="D6" s="3" t="s">
        <v>37</v>
      </c>
      <c r="E6">
        <v>4</v>
      </c>
      <c r="G6" s="3" t="s">
        <v>1027</v>
      </c>
      <c r="H6" s="10">
        <v>212341134</v>
      </c>
      <c r="J6" s="3" t="s">
        <v>1027</v>
      </c>
      <c r="K6" s="8">
        <v>43730664</v>
      </c>
      <c r="S6" s="3" t="s">
        <v>1153</v>
      </c>
      <c r="T6" s="5">
        <v>77</v>
      </c>
      <c r="AA6" t="s">
        <v>54</v>
      </c>
      <c r="AB6">
        <v>2</v>
      </c>
      <c r="AH6" s="3" t="s">
        <v>1027</v>
      </c>
      <c r="AI6" s="5">
        <v>800</v>
      </c>
      <c r="AK6" s="3" t="s">
        <v>1133</v>
      </c>
      <c r="AL6" s="5">
        <v>172</v>
      </c>
      <c r="AN6" s="3" t="s">
        <v>1135</v>
      </c>
      <c r="AO6" s="5">
        <v>471</v>
      </c>
      <c r="AQ6" s="3" t="s">
        <v>1141</v>
      </c>
      <c r="AR6" s="5">
        <v>184</v>
      </c>
      <c r="AT6" s="3" t="s">
        <v>1131</v>
      </c>
      <c r="AU6" s="5">
        <v>28.93661971830986</v>
      </c>
    </row>
    <row r="7" spans="1:47" x14ac:dyDescent="0.25">
      <c r="D7" s="3" t="s">
        <v>54</v>
      </c>
      <c r="E7">
        <v>2</v>
      </c>
      <c r="S7" s="3" t="s">
        <v>1151</v>
      </c>
      <c r="T7" s="5">
        <v>63</v>
      </c>
      <c r="W7" s="17">
        <f>GETPIVOTDATA("[Measures].[Count of ComplaintID]",$W$1,"[complaints  1   1].[Status]","[complaints  1   1].[Status].&amp;[Resolved]")/GETPIVOTDATA("[Measures].[Count of ComplaintID]",$W$1)</f>
        <v>0.58875</v>
      </c>
      <c r="AA7" t="s">
        <v>56</v>
      </c>
      <c r="AB7">
        <v>2</v>
      </c>
      <c r="AK7" s="3" t="s">
        <v>1134</v>
      </c>
      <c r="AL7" s="5">
        <v>157</v>
      </c>
      <c r="AN7" s="3" t="s">
        <v>1140</v>
      </c>
      <c r="AO7" s="5">
        <v>329</v>
      </c>
      <c r="AQ7" s="3" t="s">
        <v>1131</v>
      </c>
      <c r="AR7" s="5">
        <v>142</v>
      </c>
      <c r="AT7" s="3" t="s">
        <v>1143</v>
      </c>
      <c r="AU7" s="5">
        <v>30.50314465408805</v>
      </c>
    </row>
    <row r="8" spans="1:47" x14ac:dyDescent="0.25">
      <c r="D8" s="3" t="s">
        <v>56</v>
      </c>
      <c r="E8">
        <v>2</v>
      </c>
      <c r="S8" s="3" t="s">
        <v>1150</v>
      </c>
      <c r="T8" s="5">
        <v>74</v>
      </c>
      <c r="AA8" t="s">
        <v>60</v>
      </c>
      <c r="AB8">
        <v>2</v>
      </c>
      <c r="AK8" s="3" t="s">
        <v>1135</v>
      </c>
      <c r="AL8" s="5">
        <v>471</v>
      </c>
      <c r="AN8" s="3" t="s">
        <v>1027</v>
      </c>
      <c r="AO8" s="5">
        <v>800</v>
      </c>
      <c r="AQ8" s="3" t="s">
        <v>1142</v>
      </c>
      <c r="AR8" s="5">
        <v>167</v>
      </c>
      <c r="AT8" s="3" t="s">
        <v>1141</v>
      </c>
      <c r="AU8" s="5">
        <v>31.206521739130434</v>
      </c>
    </row>
    <row r="9" spans="1:47" x14ac:dyDescent="0.25">
      <c r="D9" s="3" t="s">
        <v>60</v>
      </c>
      <c r="E9">
        <v>2</v>
      </c>
      <c r="S9" s="3" t="s">
        <v>1146</v>
      </c>
      <c r="T9" s="5">
        <v>66</v>
      </c>
      <c r="AA9" t="s">
        <v>64</v>
      </c>
      <c r="AB9">
        <v>5</v>
      </c>
      <c r="AK9" s="3" t="s">
        <v>1027</v>
      </c>
      <c r="AL9" s="5">
        <v>800</v>
      </c>
      <c r="AQ9" s="3" t="s">
        <v>1143</v>
      </c>
      <c r="AR9" s="5">
        <v>159</v>
      </c>
      <c r="AT9" s="3" t="s">
        <v>1144</v>
      </c>
      <c r="AU9" s="5">
        <v>31.351351351351351</v>
      </c>
    </row>
    <row r="10" spans="1:47" x14ac:dyDescent="0.25">
      <c r="A10" s="2" t="s">
        <v>1063</v>
      </c>
      <c r="B10" t="s">
        <v>1056</v>
      </c>
      <c r="D10" s="3" t="s">
        <v>64</v>
      </c>
      <c r="E10">
        <v>5</v>
      </c>
      <c r="G10" s="2" t="s">
        <v>1062</v>
      </c>
      <c r="H10" t="s">
        <v>1060</v>
      </c>
      <c r="J10" s="2" t="s">
        <v>1040</v>
      </c>
      <c r="K10" t="s">
        <v>1064</v>
      </c>
      <c r="M10" s="2" t="s">
        <v>1065</v>
      </c>
      <c r="N10" t="s">
        <v>1064</v>
      </c>
      <c r="P10" s="2" t="s">
        <v>1065</v>
      </c>
      <c r="Q10" t="s">
        <v>1061</v>
      </c>
      <c r="S10" s="3" t="s">
        <v>1156</v>
      </c>
      <c r="T10" s="5">
        <v>59</v>
      </c>
      <c r="V10" t="s">
        <v>1130</v>
      </c>
      <c r="AA10" t="s">
        <v>74</v>
      </c>
      <c r="AB10">
        <v>2</v>
      </c>
      <c r="AQ10" s="3" t="s">
        <v>1144</v>
      </c>
      <c r="AR10" s="5">
        <v>148</v>
      </c>
      <c r="AT10" s="3" t="s">
        <v>1142</v>
      </c>
      <c r="AU10" s="5">
        <v>31.54491017964072</v>
      </c>
    </row>
    <row r="11" spans="1:47" x14ac:dyDescent="0.25">
      <c r="A11" s="3" t="s">
        <v>1054</v>
      </c>
      <c r="B11">
        <v>303</v>
      </c>
      <c r="D11" s="3" t="s">
        <v>74</v>
      </c>
      <c r="E11">
        <v>2</v>
      </c>
      <c r="G11" s="3" t="s">
        <v>1057</v>
      </c>
      <c r="H11" s="10">
        <v>3677399</v>
      </c>
      <c r="J11" s="3" t="s">
        <v>19</v>
      </c>
      <c r="K11" s="10">
        <v>259460.32411067194</v>
      </c>
      <c r="M11" s="3" t="s">
        <v>1034</v>
      </c>
      <c r="N11" s="10">
        <v>281351.51082251081</v>
      </c>
      <c r="P11" s="3" t="s">
        <v>1057</v>
      </c>
      <c r="Q11" s="5">
        <v>580.50877192982455</v>
      </c>
      <c r="S11" s="3" t="s">
        <v>1155</v>
      </c>
      <c r="T11" s="5">
        <v>71</v>
      </c>
      <c r="V11" s="5">
        <v>800</v>
      </c>
      <c r="AA11" t="s">
        <v>78</v>
      </c>
      <c r="AB11">
        <v>2</v>
      </c>
      <c r="AQ11" s="3" t="s">
        <v>1027</v>
      </c>
      <c r="AR11" s="5">
        <v>800</v>
      </c>
      <c r="AT11" s="3" t="s">
        <v>1027</v>
      </c>
      <c r="AU11" s="5">
        <v>30.76125</v>
      </c>
    </row>
    <row r="12" spans="1:47" x14ac:dyDescent="0.25">
      <c r="A12" s="3" t="s">
        <v>1051</v>
      </c>
      <c r="B12">
        <v>246</v>
      </c>
      <c r="D12" s="3" t="s">
        <v>78</v>
      </c>
      <c r="E12">
        <v>2</v>
      </c>
      <c r="G12" s="3" t="s">
        <v>1059</v>
      </c>
      <c r="H12" s="10">
        <v>3344817</v>
      </c>
      <c r="J12" s="3" t="s">
        <v>13</v>
      </c>
      <c r="K12" s="10">
        <v>267102.03171247354</v>
      </c>
      <c r="M12" s="3" t="s">
        <v>1033</v>
      </c>
      <c r="N12" s="10">
        <v>269930.76851851854</v>
      </c>
      <c r="P12" s="3" t="s">
        <v>1059</v>
      </c>
      <c r="Q12" s="5">
        <v>591.8115942028985</v>
      </c>
      <c r="S12" s="3" t="s">
        <v>1154</v>
      </c>
      <c r="T12" s="5">
        <v>67</v>
      </c>
      <c r="AA12" t="s">
        <v>82</v>
      </c>
      <c r="AB12">
        <v>2</v>
      </c>
    </row>
    <row r="13" spans="1:47" x14ac:dyDescent="0.25">
      <c r="A13" s="3" t="s">
        <v>1052</v>
      </c>
      <c r="B13">
        <v>169</v>
      </c>
      <c r="D13" s="3" t="s">
        <v>82</v>
      </c>
      <c r="E13">
        <v>2</v>
      </c>
      <c r="G13" s="3" t="s">
        <v>1027</v>
      </c>
      <c r="H13" s="10">
        <v>7022216</v>
      </c>
      <c r="J13" s="3" t="s">
        <v>23</v>
      </c>
      <c r="K13" s="10">
        <v>275113.66216216219</v>
      </c>
      <c r="M13" s="3" t="s">
        <v>1032</v>
      </c>
      <c r="N13" s="10">
        <v>257817.18431372548</v>
      </c>
      <c r="P13" s="3" t="s">
        <v>1027</v>
      </c>
      <c r="Q13" s="8">
        <v>586.69841269841265</v>
      </c>
      <c r="S13" s="3" t="s">
        <v>1147</v>
      </c>
      <c r="T13" s="5">
        <v>63</v>
      </c>
      <c r="AA13" t="s">
        <v>86</v>
      </c>
      <c r="AB13">
        <v>2</v>
      </c>
    </row>
    <row r="14" spans="1:47" x14ac:dyDescent="0.25">
      <c r="A14" s="3" t="s">
        <v>1053</v>
      </c>
      <c r="B14">
        <v>82</v>
      </c>
      <c r="D14" s="3" t="s">
        <v>86</v>
      </c>
      <c r="E14">
        <v>2</v>
      </c>
      <c r="J14" s="3" t="s">
        <v>1027</v>
      </c>
      <c r="K14" s="10">
        <v>265426.41749999998</v>
      </c>
      <c r="M14" s="3" t="s">
        <v>1031</v>
      </c>
      <c r="N14" s="10">
        <v>254626.35922330097</v>
      </c>
      <c r="S14" s="3" t="s">
        <v>1027</v>
      </c>
      <c r="T14" s="5">
        <v>800</v>
      </c>
      <c r="AA14" t="s">
        <v>92</v>
      </c>
      <c r="AB14">
        <v>4</v>
      </c>
    </row>
    <row r="15" spans="1:47" x14ac:dyDescent="0.25">
      <c r="A15" s="3" t="s">
        <v>1027</v>
      </c>
      <c r="B15">
        <v>800</v>
      </c>
      <c r="D15" s="3" t="s">
        <v>92</v>
      </c>
      <c r="E15">
        <v>4</v>
      </c>
      <c r="K15" s="10"/>
      <c r="M15" s="3" t="s">
        <v>1027</v>
      </c>
      <c r="N15" s="8">
        <v>265426.41749999998</v>
      </c>
      <c r="AA15" t="s">
        <v>98</v>
      </c>
      <c r="AB15">
        <v>2</v>
      </c>
    </row>
    <row r="16" spans="1:47" x14ac:dyDescent="0.25">
      <c r="D16" s="3" t="s">
        <v>98</v>
      </c>
      <c r="E16">
        <v>2</v>
      </c>
      <c r="AA16" t="s">
        <v>100</v>
      </c>
      <c r="AB16">
        <v>2</v>
      </c>
    </row>
    <row r="17" spans="1:28" x14ac:dyDescent="0.25">
      <c r="D17" s="3" t="s">
        <v>100</v>
      </c>
      <c r="E17">
        <v>2</v>
      </c>
      <c r="AA17" t="s">
        <v>104</v>
      </c>
      <c r="AB17">
        <v>5</v>
      </c>
    </row>
    <row r="18" spans="1:28" x14ac:dyDescent="0.25">
      <c r="D18" s="3" t="s">
        <v>104</v>
      </c>
      <c r="E18">
        <v>5</v>
      </c>
      <c r="AA18" t="s">
        <v>106</v>
      </c>
      <c r="AB18">
        <v>2</v>
      </c>
    </row>
    <row r="19" spans="1:28" x14ac:dyDescent="0.25">
      <c r="A19" t="s">
        <v>1066</v>
      </c>
      <c r="D19" s="3" t="s">
        <v>106</v>
      </c>
      <c r="E19">
        <v>2</v>
      </c>
      <c r="G19" t="s">
        <v>1068</v>
      </c>
      <c r="J19" s="2" t="s">
        <v>1063</v>
      </c>
      <c r="K19" t="s">
        <v>1067</v>
      </c>
      <c r="M19" s="2" t="s">
        <v>1090</v>
      </c>
      <c r="N19" t="s">
        <v>1066</v>
      </c>
      <c r="P19" s="2" t="s">
        <v>1063</v>
      </c>
      <c r="Q19" t="s">
        <v>1066</v>
      </c>
      <c r="S19" s="2" t="s">
        <v>1066</v>
      </c>
      <c r="T19" s="2" t="s">
        <v>1028</v>
      </c>
      <c r="AA19" t="s">
        <v>108</v>
      </c>
      <c r="AB19">
        <v>2</v>
      </c>
    </row>
    <row r="20" spans="1:28" x14ac:dyDescent="0.25">
      <c r="A20">
        <v>5000</v>
      </c>
      <c r="D20" s="3" t="s">
        <v>108</v>
      </c>
      <c r="E20">
        <v>2</v>
      </c>
      <c r="G20" s="8">
        <v>5013.2178000000004</v>
      </c>
      <c r="J20" s="3" t="s">
        <v>1069</v>
      </c>
      <c r="K20" s="13">
        <v>0.2474285078936726</v>
      </c>
      <c r="M20" s="3" t="s">
        <v>1073</v>
      </c>
      <c r="N20" s="11">
        <v>1235</v>
      </c>
      <c r="P20" s="3" t="s">
        <v>1080</v>
      </c>
      <c r="Q20" s="11">
        <v>500</v>
      </c>
      <c r="S20" s="2" t="s">
        <v>1084</v>
      </c>
      <c r="T20" t="s">
        <v>1069</v>
      </c>
      <c r="U20" t="s">
        <v>1070</v>
      </c>
      <c r="V20" t="s">
        <v>1071</v>
      </c>
      <c r="W20" t="s">
        <v>1072</v>
      </c>
      <c r="X20" t="s">
        <v>1027</v>
      </c>
      <c r="AA20" t="s">
        <v>110</v>
      </c>
      <c r="AB20">
        <v>2</v>
      </c>
    </row>
    <row r="21" spans="1:28" x14ac:dyDescent="0.25">
      <c r="D21" s="3" t="s">
        <v>110</v>
      </c>
      <c r="E21">
        <v>2</v>
      </c>
      <c r="J21" s="3" t="s">
        <v>1070</v>
      </c>
      <c r="K21" s="13">
        <v>0.2539584456115192</v>
      </c>
      <c r="M21" s="3" t="s">
        <v>1074</v>
      </c>
      <c r="N21" s="11">
        <v>1244</v>
      </c>
      <c r="P21" s="3" t="s">
        <v>1081</v>
      </c>
      <c r="Q21" s="11">
        <v>509</v>
      </c>
      <c r="S21" s="3" t="s">
        <v>1082</v>
      </c>
      <c r="T21" s="11">
        <v>956</v>
      </c>
      <c r="U21" s="11">
        <v>997</v>
      </c>
      <c r="V21" s="11">
        <v>976</v>
      </c>
      <c r="W21" s="11">
        <v>1014</v>
      </c>
      <c r="X21" s="11">
        <v>3943</v>
      </c>
      <c r="AA21" t="s">
        <v>114</v>
      </c>
      <c r="AB21">
        <v>2</v>
      </c>
    </row>
    <row r="22" spans="1:28" x14ac:dyDescent="0.25">
      <c r="A22" t="s">
        <v>1067</v>
      </c>
      <c r="D22" s="3" t="s">
        <v>114</v>
      </c>
      <c r="E22">
        <v>2</v>
      </c>
      <c r="G22" t="s">
        <v>1128</v>
      </c>
      <c r="J22" s="3" t="s">
        <v>1071</v>
      </c>
      <c r="K22" s="13">
        <v>0.24370965889413382</v>
      </c>
      <c r="M22" s="3" t="s">
        <v>1075</v>
      </c>
      <c r="N22" s="11">
        <v>1235</v>
      </c>
      <c r="P22" s="3" t="s">
        <v>1078</v>
      </c>
      <c r="Q22" s="11">
        <v>513</v>
      </c>
      <c r="S22" s="3" t="s">
        <v>1083</v>
      </c>
      <c r="T22" s="11">
        <v>268</v>
      </c>
      <c r="U22" s="11">
        <v>269</v>
      </c>
      <c r="V22" s="11">
        <v>268</v>
      </c>
      <c r="W22" s="11">
        <v>252</v>
      </c>
      <c r="X22" s="11">
        <v>1057</v>
      </c>
      <c r="AA22" t="s">
        <v>116</v>
      </c>
      <c r="AB22">
        <v>5</v>
      </c>
    </row>
    <row r="23" spans="1:28" x14ac:dyDescent="0.25">
      <c r="A23" s="8">
        <v>25066089</v>
      </c>
      <c r="D23" s="3" t="s">
        <v>116</v>
      </c>
      <c r="E23">
        <v>5</v>
      </c>
      <c r="G23">
        <v>237</v>
      </c>
      <c r="J23" s="3" t="s">
        <v>1072</v>
      </c>
      <c r="K23" s="13">
        <v>0.25490338760067438</v>
      </c>
      <c r="M23" s="3" t="s">
        <v>1076</v>
      </c>
      <c r="N23" s="11">
        <v>1286</v>
      </c>
      <c r="P23" s="3" t="s">
        <v>1079</v>
      </c>
      <c r="Q23" s="11">
        <v>519</v>
      </c>
      <c r="S23" s="3" t="s">
        <v>1027</v>
      </c>
      <c r="T23" s="11">
        <v>1224</v>
      </c>
      <c r="U23" s="11">
        <v>1266</v>
      </c>
      <c r="V23" s="11">
        <v>1244</v>
      </c>
      <c r="W23" s="11">
        <v>1266</v>
      </c>
      <c r="X23" s="11">
        <v>5000</v>
      </c>
      <c r="AA23" t="s">
        <v>120</v>
      </c>
      <c r="AB23">
        <v>3</v>
      </c>
    </row>
    <row r="24" spans="1:28" x14ac:dyDescent="0.25">
      <c r="D24" s="3" t="s">
        <v>120</v>
      </c>
      <c r="E24">
        <v>3</v>
      </c>
      <c r="J24" s="3" t="s">
        <v>1027</v>
      </c>
      <c r="K24" s="13">
        <v>1</v>
      </c>
      <c r="M24" s="3" t="s">
        <v>1027</v>
      </c>
      <c r="N24" s="8">
        <v>5000</v>
      </c>
      <c r="P24" s="3" t="s">
        <v>1077</v>
      </c>
      <c r="Q24" s="11">
        <v>571</v>
      </c>
      <c r="AA24" t="s">
        <v>122</v>
      </c>
      <c r="AB24">
        <v>2</v>
      </c>
    </row>
    <row r="25" spans="1:28" x14ac:dyDescent="0.25">
      <c r="D25" s="3" t="s">
        <v>122</v>
      </c>
      <c r="E25">
        <v>2</v>
      </c>
      <c r="P25" s="3" t="s">
        <v>1027</v>
      </c>
      <c r="Q25" s="11">
        <v>2612</v>
      </c>
      <c r="AA25" t="s">
        <v>136</v>
      </c>
      <c r="AB25">
        <v>2</v>
      </c>
    </row>
    <row r="26" spans="1:28" x14ac:dyDescent="0.25">
      <c r="D26" s="3" t="s">
        <v>136</v>
      </c>
      <c r="E26">
        <v>2</v>
      </c>
      <c r="J26" s="3" t="s">
        <v>1069</v>
      </c>
      <c r="K26" s="13">
        <v>0.2474285078936726</v>
      </c>
      <c r="AA26" t="s">
        <v>140</v>
      </c>
      <c r="AB26">
        <v>3</v>
      </c>
    </row>
    <row r="27" spans="1:28" x14ac:dyDescent="0.25">
      <c r="D27" s="3" t="s">
        <v>140</v>
      </c>
      <c r="E27">
        <v>3</v>
      </c>
      <c r="J27" s="3" t="s">
        <v>1070</v>
      </c>
      <c r="K27" s="13">
        <v>0.2539584456115192</v>
      </c>
      <c r="AA27" t="s">
        <v>144</v>
      </c>
      <c r="AB27">
        <v>4</v>
      </c>
    </row>
    <row r="28" spans="1:28" x14ac:dyDescent="0.25">
      <c r="D28" s="3" t="s">
        <v>144</v>
      </c>
      <c r="E28">
        <v>4</v>
      </c>
      <c r="J28" s="3" t="s">
        <v>1071</v>
      </c>
      <c r="K28" s="13">
        <v>0.24370965889413382</v>
      </c>
      <c r="AA28" t="s">
        <v>148</v>
      </c>
      <c r="AB28">
        <v>2</v>
      </c>
    </row>
    <row r="29" spans="1:28" x14ac:dyDescent="0.25">
      <c r="D29" s="3" t="s">
        <v>148</v>
      </c>
      <c r="E29">
        <v>2</v>
      </c>
      <c r="J29" s="3" t="s">
        <v>1072</v>
      </c>
      <c r="K29" s="13">
        <v>0.25490338760067438</v>
      </c>
      <c r="AA29" t="s">
        <v>152</v>
      </c>
      <c r="AB29">
        <v>2</v>
      </c>
    </row>
    <row r="30" spans="1:28" x14ac:dyDescent="0.25">
      <c r="D30" s="3" t="s">
        <v>152</v>
      </c>
      <c r="E30">
        <v>2</v>
      </c>
      <c r="J30" s="3"/>
      <c r="K30" s="8"/>
      <c r="AA30" t="s">
        <v>154</v>
      </c>
      <c r="AB30">
        <v>3</v>
      </c>
    </row>
    <row r="31" spans="1:28" x14ac:dyDescent="0.25">
      <c r="D31" s="3" t="s">
        <v>154</v>
      </c>
      <c r="E31">
        <v>3</v>
      </c>
      <c r="J31" s="3" t="s">
        <v>1085</v>
      </c>
      <c r="K31" s="14">
        <f>GETPIVOTDATA("[Measures].[Sum of Amount]",$J$19,"[transactions  3].[Transaction_Type]","[transactions  3].[Transaction_Type].&amp;[Deposit]")</f>
        <v>0.2474285078936726</v>
      </c>
      <c r="AA31" t="s">
        <v>156</v>
      </c>
      <c r="AB31">
        <v>2</v>
      </c>
    </row>
    <row r="32" spans="1:28" x14ac:dyDescent="0.25">
      <c r="D32" s="3" t="s">
        <v>156</v>
      </c>
      <c r="E32">
        <v>2</v>
      </c>
      <c r="J32" s="3" t="s">
        <v>1086</v>
      </c>
      <c r="K32" s="14">
        <f>1-K31</f>
        <v>0.75257149210632734</v>
      </c>
      <c r="AA32" t="s">
        <v>158</v>
      </c>
      <c r="AB32">
        <v>2</v>
      </c>
    </row>
    <row r="33" spans="4:28" x14ac:dyDescent="0.25">
      <c r="D33" s="3" t="s">
        <v>158</v>
      </c>
      <c r="E33">
        <v>2</v>
      </c>
      <c r="AA33" t="s">
        <v>160</v>
      </c>
      <c r="AB33">
        <v>2</v>
      </c>
    </row>
    <row r="34" spans="4:28" x14ac:dyDescent="0.25">
      <c r="D34" s="3" t="s">
        <v>160</v>
      </c>
      <c r="E34">
        <v>2</v>
      </c>
      <c r="J34" s="3" t="s">
        <v>1087</v>
      </c>
      <c r="K34" s="14">
        <f>GETPIVOTDATA("[Measures].[Sum of Amount]",$J$19,"[transactions  3].[Transaction_Type]","[transactions  3].[Transaction_Type].&amp;[Payment]")</f>
        <v>0.2539584456115192</v>
      </c>
      <c r="AA34" t="s">
        <v>162</v>
      </c>
      <c r="AB34">
        <v>3</v>
      </c>
    </row>
    <row r="35" spans="4:28" x14ac:dyDescent="0.25">
      <c r="D35" s="3" t="s">
        <v>162</v>
      </c>
      <c r="E35">
        <v>3</v>
      </c>
      <c r="J35" s="3" t="s">
        <v>1086</v>
      </c>
      <c r="K35" s="14">
        <f>1-K34</f>
        <v>0.74604155438848085</v>
      </c>
      <c r="AA35" t="s">
        <v>166</v>
      </c>
      <c r="AB35">
        <v>3</v>
      </c>
    </row>
    <row r="36" spans="4:28" x14ac:dyDescent="0.25">
      <c r="D36" s="3" t="s">
        <v>166</v>
      </c>
      <c r="E36">
        <v>3</v>
      </c>
      <c r="AA36" t="s">
        <v>170</v>
      </c>
      <c r="AB36">
        <v>2</v>
      </c>
    </row>
    <row r="37" spans="4:28" x14ac:dyDescent="0.25">
      <c r="D37" s="3" t="s">
        <v>170</v>
      </c>
      <c r="E37">
        <v>2</v>
      </c>
      <c r="J37" s="3" t="s">
        <v>1088</v>
      </c>
      <c r="K37" s="15">
        <f>K28</f>
        <v>0.24370965889413382</v>
      </c>
      <c r="AA37" t="s">
        <v>172</v>
      </c>
      <c r="AB37">
        <v>2</v>
      </c>
    </row>
    <row r="38" spans="4:28" x14ac:dyDescent="0.25">
      <c r="D38" s="3" t="s">
        <v>172</v>
      </c>
      <c r="E38">
        <v>2</v>
      </c>
      <c r="J38" s="3" t="s">
        <v>1086</v>
      </c>
      <c r="K38" s="15">
        <f>1-K37</f>
        <v>0.75629034110586613</v>
      </c>
      <c r="AA38" t="s">
        <v>174</v>
      </c>
      <c r="AB38">
        <v>5</v>
      </c>
    </row>
    <row r="39" spans="4:28" x14ac:dyDescent="0.25">
      <c r="D39" s="3" t="s">
        <v>174</v>
      </c>
      <c r="E39">
        <v>5</v>
      </c>
      <c r="AA39" t="s">
        <v>186</v>
      </c>
      <c r="AB39">
        <v>2</v>
      </c>
    </row>
    <row r="40" spans="4:28" x14ac:dyDescent="0.25">
      <c r="D40" s="3" t="s">
        <v>186</v>
      </c>
      <c r="E40">
        <v>2</v>
      </c>
      <c r="J40" s="3" t="s">
        <v>1089</v>
      </c>
      <c r="K40" s="15">
        <f>K29</f>
        <v>0.25490338760067438</v>
      </c>
      <c r="AA40" t="s">
        <v>190</v>
      </c>
      <c r="AB40">
        <v>4</v>
      </c>
    </row>
    <row r="41" spans="4:28" x14ac:dyDescent="0.25">
      <c r="D41" s="3" t="s">
        <v>190</v>
      </c>
      <c r="E41">
        <v>4</v>
      </c>
      <c r="J41" s="3" t="s">
        <v>1086</v>
      </c>
      <c r="K41" s="13">
        <f>1-K40</f>
        <v>0.74509661239932568</v>
      </c>
      <c r="AA41" t="s">
        <v>194</v>
      </c>
      <c r="AB41">
        <v>4</v>
      </c>
    </row>
    <row r="42" spans="4:28" x14ac:dyDescent="0.25">
      <c r="D42" s="3" t="s">
        <v>194</v>
      </c>
      <c r="E42">
        <v>4</v>
      </c>
      <c r="AA42" t="s">
        <v>196</v>
      </c>
      <c r="AB42">
        <v>2</v>
      </c>
    </row>
    <row r="43" spans="4:28" x14ac:dyDescent="0.25">
      <c r="D43" s="3" t="s">
        <v>196</v>
      </c>
      <c r="E43">
        <v>2</v>
      </c>
      <c r="AA43" t="s">
        <v>200</v>
      </c>
      <c r="AB43">
        <v>2</v>
      </c>
    </row>
    <row r="44" spans="4:28" x14ac:dyDescent="0.25">
      <c r="D44" s="3" t="s">
        <v>200</v>
      </c>
      <c r="E44">
        <v>2</v>
      </c>
      <c r="AA44" t="s">
        <v>202</v>
      </c>
      <c r="AB44">
        <v>4</v>
      </c>
    </row>
    <row r="45" spans="4:28" x14ac:dyDescent="0.25">
      <c r="D45" s="3" t="s">
        <v>202</v>
      </c>
      <c r="E45">
        <v>4</v>
      </c>
      <c r="AA45" t="s">
        <v>208</v>
      </c>
      <c r="AB45">
        <v>2</v>
      </c>
    </row>
    <row r="46" spans="4:28" x14ac:dyDescent="0.25">
      <c r="D46" s="3" t="s">
        <v>208</v>
      </c>
      <c r="E46">
        <v>2</v>
      </c>
      <c r="G46" s="2" t="s">
        <v>1063</v>
      </c>
      <c r="H46" t="s">
        <v>1066</v>
      </c>
      <c r="AA46" t="s">
        <v>218</v>
      </c>
      <c r="AB46">
        <v>3</v>
      </c>
    </row>
    <row r="47" spans="4:28" x14ac:dyDescent="0.25">
      <c r="D47" s="3" t="s">
        <v>218</v>
      </c>
      <c r="E47">
        <v>3</v>
      </c>
      <c r="G47" s="3" t="s">
        <v>1091</v>
      </c>
      <c r="H47">
        <v>860</v>
      </c>
      <c r="AA47" t="s">
        <v>222</v>
      </c>
      <c r="AB47">
        <v>2</v>
      </c>
    </row>
    <row r="48" spans="4:28" x14ac:dyDescent="0.25">
      <c r="D48" s="3" t="s">
        <v>222</v>
      </c>
      <c r="E48">
        <v>2</v>
      </c>
      <c r="G48" s="3" t="s">
        <v>1092</v>
      </c>
      <c r="H48">
        <v>2531</v>
      </c>
      <c r="AA48" t="s">
        <v>224</v>
      </c>
      <c r="AB48">
        <v>2</v>
      </c>
    </row>
    <row r="49" spans="4:28" x14ac:dyDescent="0.25">
      <c r="D49" s="3" t="s">
        <v>224</v>
      </c>
      <c r="E49">
        <v>2</v>
      </c>
      <c r="G49" s="3" t="s">
        <v>1093</v>
      </c>
      <c r="H49">
        <v>1609</v>
      </c>
      <c r="AA49" t="s">
        <v>226</v>
      </c>
      <c r="AB49">
        <v>2</v>
      </c>
    </row>
    <row r="50" spans="4:28" x14ac:dyDescent="0.25">
      <c r="D50" s="3" t="s">
        <v>226</v>
      </c>
      <c r="E50">
        <v>2</v>
      </c>
      <c r="G50" s="3" t="s">
        <v>1027</v>
      </c>
      <c r="H50">
        <v>5000</v>
      </c>
      <c r="AA50" t="s">
        <v>234</v>
      </c>
      <c r="AB50">
        <v>3</v>
      </c>
    </row>
    <row r="51" spans="4:28" x14ac:dyDescent="0.25">
      <c r="D51" s="3" t="s">
        <v>234</v>
      </c>
      <c r="E51">
        <v>3</v>
      </c>
      <c r="J51" s="2" t="s">
        <v>1063</v>
      </c>
      <c r="K51" t="s">
        <v>1056</v>
      </c>
      <c r="M51" s="2" t="s">
        <v>1063</v>
      </c>
      <c r="N51" t="s">
        <v>1067</v>
      </c>
      <c r="AA51" t="s">
        <v>236</v>
      </c>
      <c r="AB51">
        <v>3</v>
      </c>
    </row>
    <row r="52" spans="4:28" x14ac:dyDescent="0.25">
      <c r="D52" s="3" t="s">
        <v>236</v>
      </c>
      <c r="E52">
        <v>3</v>
      </c>
      <c r="J52" s="3" t="s">
        <v>1094</v>
      </c>
      <c r="K52">
        <v>28</v>
      </c>
      <c r="M52" s="3" t="s">
        <v>1094</v>
      </c>
      <c r="N52">
        <v>850554</v>
      </c>
      <c r="AA52" t="s">
        <v>238</v>
      </c>
      <c r="AB52">
        <v>2</v>
      </c>
    </row>
    <row r="53" spans="4:28" x14ac:dyDescent="0.25">
      <c r="D53" s="3" t="s">
        <v>238</v>
      </c>
      <c r="E53">
        <v>2</v>
      </c>
      <c r="J53" s="3" t="s">
        <v>1095</v>
      </c>
      <c r="K53" s="8">
        <v>74</v>
      </c>
      <c r="M53" s="3" t="s">
        <v>1095</v>
      </c>
      <c r="N53" s="8">
        <v>2498108</v>
      </c>
      <c r="AA53" t="s">
        <v>240</v>
      </c>
      <c r="AB53">
        <v>4</v>
      </c>
    </row>
    <row r="54" spans="4:28" x14ac:dyDescent="0.25">
      <c r="D54" s="3" t="s">
        <v>240</v>
      </c>
      <c r="E54">
        <v>4</v>
      </c>
      <c r="J54" s="3" t="s">
        <v>1096</v>
      </c>
      <c r="K54" s="8">
        <v>65</v>
      </c>
      <c r="M54" s="3" t="s">
        <v>1096</v>
      </c>
      <c r="N54" s="8">
        <v>2039495</v>
      </c>
      <c r="AA54" t="s">
        <v>242</v>
      </c>
      <c r="AB54">
        <v>2</v>
      </c>
    </row>
    <row r="55" spans="4:28" x14ac:dyDescent="0.25">
      <c r="D55" s="3" t="s">
        <v>242</v>
      </c>
      <c r="E55">
        <v>2</v>
      </c>
      <c r="J55" s="3" t="s">
        <v>1097</v>
      </c>
      <c r="K55" s="8">
        <v>81</v>
      </c>
      <c r="M55" s="3" t="s">
        <v>1097</v>
      </c>
      <c r="N55" s="8">
        <v>2601852</v>
      </c>
      <c r="AA55" t="s">
        <v>248</v>
      </c>
      <c r="AB55">
        <v>4</v>
      </c>
    </row>
    <row r="56" spans="4:28" x14ac:dyDescent="0.25">
      <c r="D56" s="3" t="s">
        <v>248</v>
      </c>
      <c r="E56">
        <v>4</v>
      </c>
      <c r="J56" s="3" t="s">
        <v>1098</v>
      </c>
      <c r="K56" s="8">
        <v>79</v>
      </c>
      <c r="M56" s="3" t="s">
        <v>1098</v>
      </c>
      <c r="N56" s="8">
        <v>2385328</v>
      </c>
      <c r="AA56" t="s">
        <v>254</v>
      </c>
      <c r="AB56">
        <v>2</v>
      </c>
    </row>
    <row r="57" spans="4:28" x14ac:dyDescent="0.25">
      <c r="D57" s="3" t="s">
        <v>254</v>
      </c>
      <c r="E57">
        <v>2</v>
      </c>
      <c r="J57" s="3" t="s">
        <v>1099</v>
      </c>
      <c r="K57" s="8">
        <v>91</v>
      </c>
      <c r="M57" s="3" t="s">
        <v>1099</v>
      </c>
      <c r="N57" s="8">
        <v>2686188</v>
      </c>
      <c r="AA57" t="s">
        <v>256</v>
      </c>
      <c r="AB57">
        <v>3</v>
      </c>
    </row>
    <row r="58" spans="4:28" x14ac:dyDescent="0.25">
      <c r="D58" s="3" t="s">
        <v>256</v>
      </c>
      <c r="E58">
        <v>3</v>
      </c>
      <c r="J58" s="3" t="s">
        <v>1100</v>
      </c>
      <c r="K58" s="8">
        <v>68</v>
      </c>
      <c r="M58" s="3" t="s">
        <v>1100</v>
      </c>
      <c r="N58" s="8">
        <v>2247495</v>
      </c>
      <c r="AA58" t="s">
        <v>258</v>
      </c>
      <c r="AB58">
        <v>2</v>
      </c>
    </row>
    <row r="59" spans="4:28" x14ac:dyDescent="0.25">
      <c r="D59" s="3" t="s">
        <v>258</v>
      </c>
      <c r="E59">
        <v>2</v>
      </c>
      <c r="J59" s="3" t="s">
        <v>1101</v>
      </c>
      <c r="K59" s="8">
        <v>72</v>
      </c>
      <c r="M59" s="3" t="s">
        <v>1101</v>
      </c>
      <c r="N59" s="8">
        <v>2019516</v>
      </c>
      <c r="AA59" t="s">
        <v>262</v>
      </c>
      <c r="AB59">
        <v>3</v>
      </c>
    </row>
    <row r="60" spans="4:28" x14ac:dyDescent="0.25">
      <c r="D60" s="3" t="s">
        <v>262</v>
      </c>
      <c r="E60">
        <v>3</v>
      </c>
      <c r="J60" s="3" t="s">
        <v>1091</v>
      </c>
      <c r="K60" s="8">
        <v>88</v>
      </c>
      <c r="M60" s="3" t="s">
        <v>1091</v>
      </c>
      <c r="N60" s="8">
        <v>2946946</v>
      </c>
      <c r="AA60" t="s">
        <v>270</v>
      </c>
      <c r="AB60">
        <v>3</v>
      </c>
    </row>
    <row r="61" spans="4:28" x14ac:dyDescent="0.25">
      <c r="D61" s="3" t="s">
        <v>270</v>
      </c>
      <c r="E61">
        <v>3</v>
      </c>
      <c r="J61" s="3" t="s">
        <v>1092</v>
      </c>
      <c r="K61" s="8">
        <v>99</v>
      </c>
      <c r="M61" s="3" t="s">
        <v>1092</v>
      </c>
      <c r="N61" s="8">
        <v>3111888</v>
      </c>
      <c r="AA61" t="s">
        <v>272</v>
      </c>
      <c r="AB61">
        <v>2</v>
      </c>
    </row>
    <row r="62" spans="4:28" x14ac:dyDescent="0.25">
      <c r="D62" s="3" t="s">
        <v>272</v>
      </c>
      <c r="E62">
        <v>2</v>
      </c>
      <c r="J62" s="3" t="s">
        <v>1093</v>
      </c>
      <c r="K62" s="8">
        <v>55</v>
      </c>
      <c r="M62" s="3" t="s">
        <v>1093</v>
      </c>
      <c r="N62" s="8">
        <v>1678719</v>
      </c>
      <c r="AA62" t="s">
        <v>276</v>
      </c>
      <c r="AB62">
        <v>4</v>
      </c>
    </row>
    <row r="63" spans="4:28" x14ac:dyDescent="0.25">
      <c r="D63" s="3" t="s">
        <v>276</v>
      </c>
      <c r="E63">
        <v>4</v>
      </c>
      <c r="J63" s="3" t="s">
        <v>1027</v>
      </c>
      <c r="K63" s="8">
        <v>800</v>
      </c>
      <c r="M63" s="3" t="s">
        <v>1027</v>
      </c>
      <c r="N63" s="8">
        <v>25066089</v>
      </c>
      <c r="AA63" t="s">
        <v>278</v>
      </c>
      <c r="AB63">
        <v>2</v>
      </c>
    </row>
    <row r="64" spans="4:28" x14ac:dyDescent="0.25">
      <c r="D64" s="3" t="s">
        <v>278</v>
      </c>
      <c r="E64">
        <v>2</v>
      </c>
      <c r="AA64" t="s">
        <v>280</v>
      </c>
      <c r="AB64">
        <v>3</v>
      </c>
    </row>
    <row r="65" spans="1:28" x14ac:dyDescent="0.25">
      <c r="D65" s="3" t="s">
        <v>280</v>
      </c>
      <c r="E65">
        <v>3</v>
      </c>
      <c r="J65" s="2" t="s">
        <v>1063</v>
      </c>
      <c r="K65" t="s">
        <v>1066</v>
      </c>
      <c r="M65" s="2" t="s">
        <v>1063</v>
      </c>
      <c r="N65" t="s">
        <v>1068</v>
      </c>
      <c r="AA65" t="s">
        <v>284</v>
      </c>
      <c r="AB65">
        <v>3</v>
      </c>
    </row>
    <row r="66" spans="1:28" x14ac:dyDescent="0.25">
      <c r="D66" s="3" t="s">
        <v>284</v>
      </c>
      <c r="E66">
        <v>3</v>
      </c>
      <c r="J66" s="3" t="s">
        <v>1094</v>
      </c>
      <c r="K66">
        <v>181</v>
      </c>
      <c r="M66" s="3" t="s">
        <v>1094</v>
      </c>
      <c r="N66">
        <v>4699.1933701657463</v>
      </c>
      <c r="AA66" t="s">
        <v>290</v>
      </c>
      <c r="AB66">
        <v>2</v>
      </c>
    </row>
    <row r="67" spans="1:28" x14ac:dyDescent="0.25">
      <c r="D67" s="3" t="s">
        <v>290</v>
      </c>
      <c r="E67">
        <v>2</v>
      </c>
      <c r="J67" s="3" t="s">
        <v>1095</v>
      </c>
      <c r="K67" s="8">
        <v>503</v>
      </c>
      <c r="M67" s="3" t="s">
        <v>1095</v>
      </c>
      <c r="N67" s="8">
        <v>4966.4174950298211</v>
      </c>
      <c r="AA67" t="s">
        <v>294</v>
      </c>
      <c r="AB67">
        <v>2</v>
      </c>
    </row>
    <row r="68" spans="1:28" x14ac:dyDescent="0.25">
      <c r="D68" s="3" t="s">
        <v>294</v>
      </c>
      <c r="E68">
        <v>2</v>
      </c>
      <c r="J68" s="3" t="s">
        <v>1096</v>
      </c>
      <c r="K68" s="8">
        <v>392</v>
      </c>
      <c r="M68" s="3" t="s">
        <v>1096</v>
      </c>
      <c r="N68" s="8">
        <v>5202.7933673469388</v>
      </c>
      <c r="AA68" t="s">
        <v>296</v>
      </c>
      <c r="AB68">
        <v>2</v>
      </c>
    </row>
    <row r="69" spans="1:28" x14ac:dyDescent="0.25">
      <c r="D69" s="3" t="s">
        <v>296</v>
      </c>
      <c r="E69">
        <v>2</v>
      </c>
      <c r="J69" s="3" t="s">
        <v>1097</v>
      </c>
      <c r="K69" s="8">
        <v>517</v>
      </c>
      <c r="M69" s="3" t="s">
        <v>1097</v>
      </c>
      <c r="N69" s="8">
        <v>5032.5957446808507</v>
      </c>
      <c r="AA69" t="s">
        <v>298</v>
      </c>
      <c r="AB69">
        <v>2</v>
      </c>
    </row>
    <row r="70" spans="1:28" x14ac:dyDescent="0.25">
      <c r="D70" s="3" t="s">
        <v>298</v>
      </c>
      <c r="E70">
        <v>2</v>
      </c>
      <c r="J70" s="3" t="s">
        <v>1098</v>
      </c>
      <c r="K70" s="8">
        <v>477</v>
      </c>
      <c r="M70" s="3" t="s">
        <v>1098</v>
      </c>
      <c r="N70" s="8">
        <v>5000.6876310272537</v>
      </c>
      <c r="AA70" t="s">
        <v>306</v>
      </c>
      <c r="AB70">
        <v>5</v>
      </c>
    </row>
    <row r="71" spans="1:28" x14ac:dyDescent="0.25">
      <c r="D71" s="3" t="s">
        <v>306</v>
      </c>
      <c r="E71">
        <v>5</v>
      </c>
      <c r="J71" s="3" t="s">
        <v>1099</v>
      </c>
      <c r="K71" s="8">
        <v>546</v>
      </c>
      <c r="M71" s="3" t="s">
        <v>1099</v>
      </c>
      <c r="N71" s="8">
        <v>4919.7582417582416</v>
      </c>
      <c r="AA71" t="s">
        <v>308</v>
      </c>
      <c r="AB71">
        <v>4</v>
      </c>
    </row>
    <row r="72" spans="1:28" x14ac:dyDescent="0.25">
      <c r="D72" s="3" t="s">
        <v>308</v>
      </c>
      <c r="E72">
        <v>4</v>
      </c>
      <c r="J72" s="3" t="s">
        <v>1100</v>
      </c>
      <c r="K72" s="8">
        <v>438</v>
      </c>
      <c r="M72" s="3" t="s">
        <v>1100</v>
      </c>
      <c r="N72" s="8">
        <v>5131.267123287671</v>
      </c>
      <c r="AA72" t="s">
        <v>314</v>
      </c>
      <c r="AB72">
        <v>2</v>
      </c>
    </row>
    <row r="73" spans="1:28" x14ac:dyDescent="0.25">
      <c r="D73" s="3" t="s">
        <v>314</v>
      </c>
      <c r="E73">
        <v>2</v>
      </c>
      <c r="J73" s="3" t="s">
        <v>1101</v>
      </c>
      <c r="K73" s="8">
        <v>405</v>
      </c>
      <c r="M73" s="3" t="s">
        <v>1101</v>
      </c>
      <c r="N73" s="8">
        <v>4986.4592592592589</v>
      </c>
      <c r="AA73" t="s">
        <v>316</v>
      </c>
      <c r="AB73">
        <v>4</v>
      </c>
    </row>
    <row r="74" spans="1:28" x14ac:dyDescent="0.25">
      <c r="D74" s="3" t="s">
        <v>316</v>
      </c>
      <c r="E74">
        <v>4</v>
      </c>
      <c r="J74" s="3" t="s">
        <v>1091</v>
      </c>
      <c r="K74" s="8">
        <v>586</v>
      </c>
      <c r="M74" s="3" t="s">
        <v>1091</v>
      </c>
      <c r="N74" s="8">
        <v>5028.9180887372013</v>
      </c>
      <c r="AA74" t="s">
        <v>318</v>
      </c>
      <c r="AB74">
        <v>3</v>
      </c>
    </row>
    <row r="75" spans="1:28" x14ac:dyDescent="0.25">
      <c r="D75" s="3" t="s">
        <v>318</v>
      </c>
      <c r="E75">
        <v>3</v>
      </c>
      <c r="J75" s="3" t="s">
        <v>1092</v>
      </c>
      <c r="K75" s="8">
        <v>624</v>
      </c>
      <c r="M75" s="3" t="s">
        <v>1092</v>
      </c>
      <c r="N75" s="8">
        <v>4987</v>
      </c>
      <c r="AA75" t="s">
        <v>322</v>
      </c>
      <c r="AB75">
        <v>2</v>
      </c>
    </row>
    <row r="76" spans="1:28" x14ac:dyDescent="0.25">
      <c r="D76" s="3" t="s">
        <v>322</v>
      </c>
      <c r="E76">
        <v>2</v>
      </c>
      <c r="J76" s="3" t="s">
        <v>1093</v>
      </c>
      <c r="K76" s="8">
        <v>331</v>
      </c>
      <c r="M76" s="3" t="s">
        <v>1093</v>
      </c>
      <c r="N76" s="8">
        <v>5071.6586102719029</v>
      </c>
      <c r="AA76" t="s">
        <v>326</v>
      </c>
      <c r="AB76">
        <v>3</v>
      </c>
    </row>
    <row r="77" spans="1:28" x14ac:dyDescent="0.25">
      <c r="D77" s="3" t="s">
        <v>326</v>
      </c>
      <c r="E77">
        <v>3</v>
      </c>
      <c r="J77" s="3" t="s">
        <v>1027</v>
      </c>
      <c r="K77" s="8">
        <v>5000</v>
      </c>
      <c r="M77" s="3" t="s">
        <v>1027</v>
      </c>
      <c r="N77" s="8">
        <v>5013.2178000000004</v>
      </c>
      <c r="AA77" t="s">
        <v>328</v>
      </c>
      <c r="AB77">
        <v>2</v>
      </c>
    </row>
    <row r="78" spans="1:28" x14ac:dyDescent="0.25">
      <c r="D78" s="3" t="s">
        <v>328</v>
      </c>
      <c r="E78">
        <v>2</v>
      </c>
      <c r="AA78" t="s">
        <v>330</v>
      </c>
      <c r="AB78">
        <v>4</v>
      </c>
    </row>
    <row r="79" spans="1:28" x14ac:dyDescent="0.25">
      <c r="D79" s="3" t="s">
        <v>330</v>
      </c>
      <c r="E79">
        <v>4</v>
      </c>
      <c r="G79" s="2" t="s">
        <v>1126</v>
      </c>
      <c r="H79" t="s">
        <v>1104</v>
      </c>
      <c r="J79" s="2" t="s">
        <v>1127</v>
      </c>
      <c r="K79" t="s">
        <v>1103</v>
      </c>
      <c r="M79" s="2" t="s">
        <v>1063</v>
      </c>
      <c r="N79" t="s">
        <v>1104</v>
      </c>
      <c r="AA79" t="s">
        <v>334</v>
      </c>
      <c r="AB79">
        <v>2</v>
      </c>
    </row>
    <row r="80" spans="1:28" x14ac:dyDescent="0.25">
      <c r="A80" t="s">
        <v>1102</v>
      </c>
      <c r="D80" s="3" t="s">
        <v>334</v>
      </c>
      <c r="E80">
        <v>2</v>
      </c>
      <c r="G80" s="3" t="s">
        <v>1106</v>
      </c>
      <c r="H80" s="10">
        <v>3031719</v>
      </c>
      <c r="J80" s="3" t="s">
        <v>1107</v>
      </c>
      <c r="K80" s="10">
        <v>1973103</v>
      </c>
      <c r="M80" s="3" t="s">
        <v>33</v>
      </c>
      <c r="N80" s="10">
        <v>14787236</v>
      </c>
      <c r="AA80" t="s">
        <v>338</v>
      </c>
      <c r="AB80">
        <v>3</v>
      </c>
    </row>
    <row r="81" spans="1:28" x14ac:dyDescent="0.25">
      <c r="A81" s="8">
        <v>59421720</v>
      </c>
      <c r="D81" s="3" t="s">
        <v>338</v>
      </c>
      <c r="E81">
        <v>3</v>
      </c>
      <c r="G81" s="3" t="s">
        <v>1108</v>
      </c>
      <c r="H81" s="10">
        <v>3069907</v>
      </c>
      <c r="J81" s="3" t="s">
        <v>1121</v>
      </c>
      <c r="K81" s="10">
        <v>1918227</v>
      </c>
      <c r="M81" s="3" t="s">
        <v>29</v>
      </c>
      <c r="N81" s="10">
        <v>9473157</v>
      </c>
      <c r="AA81" t="s">
        <v>344</v>
      </c>
      <c r="AB81">
        <v>4</v>
      </c>
    </row>
    <row r="82" spans="1:28" x14ac:dyDescent="0.25">
      <c r="D82" s="3" t="s">
        <v>344</v>
      </c>
      <c r="E82">
        <v>4</v>
      </c>
      <c r="G82" s="3" t="s">
        <v>1114</v>
      </c>
      <c r="H82" s="10">
        <v>3378768</v>
      </c>
      <c r="J82" s="3" t="s">
        <v>1106</v>
      </c>
      <c r="K82" s="10">
        <v>1808564</v>
      </c>
      <c r="M82" s="3" t="s">
        <v>11</v>
      </c>
      <c r="N82" s="10">
        <v>8839494</v>
      </c>
      <c r="AA82" t="s">
        <v>346</v>
      </c>
      <c r="AB82">
        <v>2</v>
      </c>
    </row>
    <row r="83" spans="1:28" x14ac:dyDescent="0.25">
      <c r="A83" t="s">
        <v>1103</v>
      </c>
      <c r="D83" s="3" t="s">
        <v>346</v>
      </c>
      <c r="E83">
        <v>2</v>
      </c>
      <c r="G83" s="3" t="s">
        <v>1110</v>
      </c>
      <c r="H83" s="10">
        <v>3559601</v>
      </c>
      <c r="J83" s="3" t="s">
        <v>1111</v>
      </c>
      <c r="K83" s="10">
        <v>1766023</v>
      </c>
      <c r="M83" s="3" t="s">
        <v>17</v>
      </c>
      <c r="N83" s="10">
        <v>5154385</v>
      </c>
      <c r="AA83" t="s">
        <v>348</v>
      </c>
      <c r="AB83">
        <v>2</v>
      </c>
    </row>
    <row r="84" spans="1:28" x14ac:dyDescent="0.25">
      <c r="A84" s="8">
        <v>21167448</v>
      </c>
      <c r="D84" s="3" t="s">
        <v>348</v>
      </c>
      <c r="E84">
        <v>2</v>
      </c>
      <c r="G84" s="3" t="s">
        <v>1109</v>
      </c>
      <c r="H84" s="10">
        <v>4203646</v>
      </c>
      <c r="J84" s="3" t="s">
        <v>1123</v>
      </c>
      <c r="K84" s="10">
        <v>1727985</v>
      </c>
      <c r="M84" s="3" t="s">
        <v>1027</v>
      </c>
      <c r="N84" s="10">
        <v>38254272</v>
      </c>
      <c r="AA84" t="s">
        <v>350</v>
      </c>
      <c r="AB84">
        <v>2</v>
      </c>
    </row>
    <row r="85" spans="1:28" x14ac:dyDescent="0.25">
      <c r="D85" s="3" t="s">
        <v>350</v>
      </c>
      <c r="E85">
        <v>2</v>
      </c>
      <c r="G85" s="3" t="s">
        <v>1027</v>
      </c>
      <c r="H85" s="10">
        <v>17243641</v>
      </c>
      <c r="J85" s="3" t="s">
        <v>1115</v>
      </c>
      <c r="K85" s="10">
        <v>1725464</v>
      </c>
      <c r="AA85" t="s">
        <v>356</v>
      </c>
      <c r="AB85">
        <v>2</v>
      </c>
    </row>
    <row r="86" spans="1:28" x14ac:dyDescent="0.25">
      <c r="A86" t="s">
        <v>1104</v>
      </c>
      <c r="D86" s="3" t="s">
        <v>356</v>
      </c>
      <c r="E86">
        <v>2</v>
      </c>
      <c r="J86" s="3" t="s">
        <v>1108</v>
      </c>
      <c r="K86" s="10">
        <v>1506246</v>
      </c>
      <c r="AA86" t="s">
        <v>358</v>
      </c>
      <c r="AB86">
        <v>2</v>
      </c>
    </row>
    <row r="87" spans="1:28" x14ac:dyDescent="0.25">
      <c r="A87" s="8">
        <v>38254272</v>
      </c>
      <c r="D87" s="3" t="s">
        <v>358</v>
      </c>
      <c r="E87">
        <v>2</v>
      </c>
      <c r="J87" s="3" t="s">
        <v>1112</v>
      </c>
      <c r="K87" s="10">
        <v>1291741</v>
      </c>
      <c r="M87" s="2" t="s">
        <v>1127</v>
      </c>
      <c r="N87" t="s">
        <v>1105</v>
      </c>
      <c r="O87" t="s">
        <v>1129</v>
      </c>
      <c r="AA87" t="s">
        <v>368</v>
      </c>
      <c r="AB87">
        <v>2</v>
      </c>
    </row>
    <row r="88" spans="1:28" x14ac:dyDescent="0.25">
      <c r="D88" s="3" t="s">
        <v>368</v>
      </c>
      <c r="E88">
        <v>2</v>
      </c>
      <c r="J88" s="3" t="s">
        <v>1113</v>
      </c>
      <c r="K88" s="10">
        <v>1274166</v>
      </c>
      <c r="M88" s="3" t="s">
        <v>1120</v>
      </c>
      <c r="N88" s="10">
        <v>133</v>
      </c>
      <c r="O88" s="10">
        <v>10594.751879699248</v>
      </c>
      <c r="Q88" s="3" t="s">
        <v>1120</v>
      </c>
      <c r="R88" s="10">
        <f>GETPIVOTDATA("[Measures].[Sum of Staff_Count]",$M$87,"[branches x].[City]","[branches x].[City].&amp;[Brittanyland]")</f>
        <v>133</v>
      </c>
      <c r="S88" s="10">
        <f>GETPIVOTDATA("[Measures].[RPS]",$M$87,"[branches x].[City]","[branches x].[City].&amp;[Brittanyland]")</f>
        <v>10594.751879699248</v>
      </c>
      <c r="AA88" t="s">
        <v>370</v>
      </c>
      <c r="AB88">
        <v>3</v>
      </c>
    </row>
    <row r="89" spans="1:28" x14ac:dyDescent="0.25">
      <c r="A89" t="s">
        <v>1105</v>
      </c>
      <c r="D89" s="3" t="s">
        <v>370</v>
      </c>
      <c r="E89">
        <v>3</v>
      </c>
      <c r="J89" s="3" t="s">
        <v>1117</v>
      </c>
      <c r="K89" s="10">
        <v>1270061</v>
      </c>
      <c r="M89" s="3" t="s">
        <v>1114</v>
      </c>
      <c r="N89" s="10">
        <v>18</v>
      </c>
      <c r="O89" s="10">
        <v>198379.33333333334</v>
      </c>
      <c r="Q89" s="3" t="s">
        <v>1114</v>
      </c>
      <c r="R89" s="10">
        <f>GETPIVOTDATA("[Measures].[Sum of Staff_Count]",$M$87,"[branches x].[City]","[branches x].[City].&amp;[Caldwellburgh]")</f>
        <v>18</v>
      </c>
      <c r="S89" s="10">
        <f>GETPIVOTDATA("[Measures].[RPS]",$M$87,"[branches x].[City]","[branches x].[City].&amp;[Caldwellburgh]")</f>
        <v>198379.33333333334</v>
      </c>
      <c r="AA89" t="s">
        <v>374</v>
      </c>
      <c r="AB89">
        <v>2</v>
      </c>
    </row>
    <row r="90" spans="1:28" x14ac:dyDescent="0.25">
      <c r="A90" s="11">
        <v>1951</v>
      </c>
      <c r="D90" s="3" t="s">
        <v>374</v>
      </c>
      <c r="E90">
        <v>2</v>
      </c>
      <c r="J90" s="3" t="s">
        <v>1110</v>
      </c>
      <c r="K90" s="10">
        <v>873556</v>
      </c>
      <c r="M90" s="3" t="s">
        <v>1119</v>
      </c>
      <c r="N90" s="10">
        <v>62</v>
      </c>
      <c r="O90" s="10">
        <v>29385.774193548386</v>
      </c>
      <c r="Q90" s="3" t="s">
        <v>1119</v>
      </c>
      <c r="R90" s="10">
        <f>GETPIVOTDATA("[Measures].[Sum of Staff_Count]",$M$87,"[branches x].[City]","[branches x].[City].&amp;[Carterstad]")</f>
        <v>62</v>
      </c>
      <c r="S90" s="10">
        <f>GETPIVOTDATA("[Measures].[RPS]",$M$87,"[branches x].[City]","[branches x].[City].&amp;[Carterstad]")</f>
        <v>29385.774193548386</v>
      </c>
      <c r="AA90" t="s">
        <v>376</v>
      </c>
      <c r="AB90">
        <v>3</v>
      </c>
    </row>
    <row r="91" spans="1:28" x14ac:dyDescent="0.25">
      <c r="D91" s="3" t="s">
        <v>376</v>
      </c>
      <c r="E91">
        <v>3</v>
      </c>
      <c r="J91" s="3" t="s">
        <v>1118</v>
      </c>
      <c r="K91" s="10">
        <v>815681</v>
      </c>
      <c r="M91" s="3" t="s">
        <v>1125</v>
      </c>
      <c r="N91" s="10">
        <v>101</v>
      </c>
      <c r="O91" s="10">
        <v>9440.5247524752467</v>
      </c>
      <c r="Q91" s="3" t="s">
        <v>1125</v>
      </c>
      <c r="R91" s="10">
        <f>GETPIVOTDATA("[Measures].[Sum of Staff_Count]",$M$87,"[branches x].[City]","[branches x].[City].&amp;[Hurleyview]")</f>
        <v>101</v>
      </c>
      <c r="S91" s="10">
        <f>GETPIVOTDATA("[Measures].[RPS]",$M$87,"[branches x].[City]","[branches x].[City].&amp;[Hurleyview]")</f>
        <v>9440.5247524752467</v>
      </c>
      <c r="AA91" t="s">
        <v>378</v>
      </c>
      <c r="AB91">
        <v>3</v>
      </c>
    </row>
    <row r="92" spans="1:28" x14ac:dyDescent="0.25">
      <c r="D92" s="3" t="s">
        <v>378</v>
      </c>
      <c r="E92">
        <v>3</v>
      </c>
      <c r="J92" s="3" t="s">
        <v>1120</v>
      </c>
      <c r="K92" s="10">
        <v>802409</v>
      </c>
      <c r="M92" s="3" t="s">
        <v>1107</v>
      </c>
      <c r="N92" s="10">
        <v>42</v>
      </c>
      <c r="O92" s="10">
        <v>113815.28571428571</v>
      </c>
      <c r="Q92" s="3" t="s">
        <v>1107</v>
      </c>
      <c r="R92" s="10">
        <f>GETPIVOTDATA("[Measures].[Sum of Staff_Count]",$M$87,"[branches x].[City]","[branches x].[City].&amp;[Javiertown]")</f>
        <v>42</v>
      </c>
      <c r="S92" s="10">
        <f>GETPIVOTDATA("[Measures].[RPS]",$M$87,"[branches x].[City]","[branches x].[City].&amp;[Javiertown]")</f>
        <v>113815.28571428571</v>
      </c>
      <c r="AA92" t="s">
        <v>386</v>
      </c>
      <c r="AB92">
        <v>2</v>
      </c>
    </row>
    <row r="93" spans="1:28" x14ac:dyDescent="0.25">
      <c r="A93" s="2" t="s">
        <v>1063</v>
      </c>
      <c r="B93" t="s">
        <v>1102</v>
      </c>
      <c r="D93" s="3" t="s">
        <v>386</v>
      </c>
      <c r="E93">
        <v>2</v>
      </c>
      <c r="J93" s="3" t="s">
        <v>1122</v>
      </c>
      <c r="K93" s="10">
        <v>645721</v>
      </c>
      <c r="M93" s="3" t="s">
        <v>1121</v>
      </c>
      <c r="N93" s="10">
        <v>193</v>
      </c>
      <c r="O93" s="10">
        <v>7172.7823834196888</v>
      </c>
      <c r="Q93" s="3" t="s">
        <v>1121</v>
      </c>
      <c r="R93" s="10">
        <f>GETPIVOTDATA("[Measures].[Sum of Staff_Count]",$M$87,"[branches x].[City]","[branches x].[City].&amp;[Lake Lynnton]")</f>
        <v>193</v>
      </c>
      <c r="S93" s="10">
        <f>GETPIVOTDATA("[Measures].[RPS]",$M$87,"[branches x].[City]","[branches x].[City].&amp;[Lake Lynnton]")</f>
        <v>7172.7823834196888</v>
      </c>
      <c r="AA93" t="s">
        <v>388</v>
      </c>
      <c r="AB93">
        <v>4</v>
      </c>
    </row>
    <row r="94" spans="1:28" x14ac:dyDescent="0.25">
      <c r="A94" s="3" t="s">
        <v>1110</v>
      </c>
      <c r="B94" s="10">
        <v>4433157</v>
      </c>
      <c r="D94" s="3" t="s">
        <v>388</v>
      </c>
      <c r="E94">
        <v>4</v>
      </c>
      <c r="J94" s="3" t="s">
        <v>1116</v>
      </c>
      <c r="K94" s="10">
        <v>378828</v>
      </c>
      <c r="M94" s="3" t="s">
        <v>1118</v>
      </c>
      <c r="N94" s="10">
        <v>35</v>
      </c>
      <c r="O94" s="10">
        <v>55662.171428571426</v>
      </c>
      <c r="Q94" s="3" t="s">
        <v>1118</v>
      </c>
      <c r="R94" s="10">
        <f>GETPIVOTDATA("[Measures].[Sum of Staff_Count]",$M$87,"[branches x].[City]","[branches x].[City].&amp;[Leahtown]")</f>
        <v>35</v>
      </c>
      <c r="S94" s="10">
        <f>GETPIVOTDATA("[Measures].[RPS]",$M$87,"[branches x].[City]","[branches x].[City].&amp;[Leahtown]")</f>
        <v>55662.171428571426</v>
      </c>
      <c r="AA94" t="s">
        <v>400</v>
      </c>
      <c r="AB94">
        <v>2</v>
      </c>
    </row>
    <row r="95" spans="1:28" x14ac:dyDescent="0.25">
      <c r="A95" s="3" t="s">
        <v>1109</v>
      </c>
      <c r="B95" s="10">
        <v>4549474</v>
      </c>
      <c r="D95" s="3" t="s">
        <v>400</v>
      </c>
      <c r="E95">
        <v>2</v>
      </c>
      <c r="J95" s="3" t="s">
        <v>1124</v>
      </c>
      <c r="K95" s="10">
        <v>377349</v>
      </c>
      <c r="M95" s="3" t="s">
        <v>1109</v>
      </c>
      <c r="N95" s="10">
        <v>135</v>
      </c>
      <c r="O95" s="10">
        <v>33699.80740740741</v>
      </c>
      <c r="Q95" s="3" t="s">
        <v>1109</v>
      </c>
      <c r="R95" s="10">
        <f>GETPIVOTDATA("[Measures].[Sum of Staff_Count]",$M$87,"[branches x].[City]","[branches x].[City].&amp;[Lisaville]")</f>
        <v>135</v>
      </c>
      <c r="S95" s="10">
        <f>GETPIVOTDATA("[Measures].[RPS]",$M$87,"[branches x].[City]","[branches x].[City].&amp;[Lisaville]")</f>
        <v>33699.80740740741</v>
      </c>
      <c r="AA95" t="s">
        <v>402</v>
      </c>
      <c r="AB95">
        <v>3</v>
      </c>
    </row>
    <row r="96" spans="1:28" x14ac:dyDescent="0.25">
      <c r="A96" s="3" t="s">
        <v>1108</v>
      </c>
      <c r="B96" s="10">
        <v>4576153</v>
      </c>
      <c r="D96" s="3" t="s">
        <v>402</v>
      </c>
      <c r="E96">
        <v>3</v>
      </c>
      <c r="J96" s="3" t="s">
        <v>1109</v>
      </c>
      <c r="K96" s="10">
        <v>345828</v>
      </c>
      <c r="M96" s="3" t="s">
        <v>1110</v>
      </c>
      <c r="N96" s="10">
        <v>140</v>
      </c>
      <c r="O96" s="10">
        <v>31665.407142857144</v>
      </c>
      <c r="Q96" s="3" t="s">
        <v>1110</v>
      </c>
      <c r="R96" s="10">
        <f>GETPIVOTDATA("[Measures].[Sum of Staff_Count]",$M$87,"[branches x].[City]","[branches x].[City].&amp;[Michaeltown]")</f>
        <v>140</v>
      </c>
      <c r="S96" s="10">
        <f>GETPIVOTDATA("[Measures].[RPS]",$M$87,"[branches x].[City]","[branches x].[City].&amp;[Michaeltown]")</f>
        <v>31665.407142857144</v>
      </c>
      <c r="AA96" t="s">
        <v>404</v>
      </c>
      <c r="AB96">
        <v>2</v>
      </c>
    </row>
    <row r="97" spans="1:28" x14ac:dyDescent="0.25">
      <c r="A97" s="3" t="s">
        <v>1107</v>
      </c>
      <c r="B97" s="10">
        <v>4780242</v>
      </c>
      <c r="D97" s="3" t="s">
        <v>404</v>
      </c>
      <c r="E97">
        <v>2</v>
      </c>
      <c r="J97" s="3" t="s">
        <v>1119</v>
      </c>
      <c r="K97" s="10">
        <v>315592</v>
      </c>
      <c r="M97" s="3" t="s">
        <v>1111</v>
      </c>
      <c r="N97" s="10">
        <v>197</v>
      </c>
      <c r="O97" s="10">
        <v>22070.467005076142</v>
      </c>
      <c r="Q97" s="3" t="s">
        <v>1111</v>
      </c>
      <c r="R97" s="10">
        <f>GETPIVOTDATA("[Measures].[Sum of Staff_Count]",$M$87,"[branches x].[City]","[branches x].[City].&amp;[New Adrienne]")</f>
        <v>197</v>
      </c>
      <c r="S97" s="10">
        <f>GETPIVOTDATA("[Measures].[RPS]",$M$87,"[branches x].[City]","[branches x].[City].&amp;[New Adrienne]")</f>
        <v>22070.467005076142</v>
      </c>
      <c r="AA97" t="s">
        <v>406</v>
      </c>
      <c r="AB97">
        <v>5</v>
      </c>
    </row>
    <row r="98" spans="1:28" x14ac:dyDescent="0.25">
      <c r="A98" s="3" t="s">
        <v>1106</v>
      </c>
      <c r="B98" s="10">
        <v>4840283</v>
      </c>
      <c r="D98" s="3" t="s">
        <v>406</v>
      </c>
      <c r="E98">
        <v>5</v>
      </c>
      <c r="J98" s="3" t="s">
        <v>1114</v>
      </c>
      <c r="K98" s="10">
        <v>192060</v>
      </c>
      <c r="M98" s="3" t="s">
        <v>1106</v>
      </c>
      <c r="N98" s="10">
        <v>85</v>
      </c>
      <c r="O98" s="10">
        <v>56944.50588235294</v>
      </c>
      <c r="Q98" s="3" t="s">
        <v>1106</v>
      </c>
      <c r="R98" s="10">
        <f>GETPIVOTDATA("[Measures].[Sum of Staff_Count]",$M$87,"[branches x].[City]","[branches x].[City].&amp;[North Daniel]")</f>
        <v>85</v>
      </c>
      <c r="S98" s="10">
        <f>GETPIVOTDATA("[Measures].[RPS]",$M$87,"[branches x].[City]","[branches x].[City].&amp;[North Daniel]")</f>
        <v>56944.50588235294</v>
      </c>
      <c r="AA98" t="s">
        <v>414</v>
      </c>
      <c r="AB98">
        <v>4</v>
      </c>
    </row>
    <row r="99" spans="1:28" x14ac:dyDescent="0.25">
      <c r="A99" s="3" t="s">
        <v>1027</v>
      </c>
      <c r="B99" s="10">
        <v>23179309</v>
      </c>
      <c r="D99" s="3" t="s">
        <v>414</v>
      </c>
      <c r="E99">
        <v>4</v>
      </c>
      <c r="J99" s="3" t="s">
        <v>1125</v>
      </c>
      <c r="K99" s="10">
        <v>158844</v>
      </c>
      <c r="M99" s="3" t="s">
        <v>1116</v>
      </c>
      <c r="N99" s="10">
        <v>78</v>
      </c>
      <c r="O99" s="10">
        <v>41981.243589743586</v>
      </c>
      <c r="Q99" s="3" t="s">
        <v>1116</v>
      </c>
      <c r="R99" s="10">
        <f>GETPIVOTDATA("[Measures].[Sum of Staff_Count]",$M$87,"[branches x].[City]","[branches x].[City].&amp;[Petersonport]")</f>
        <v>78</v>
      </c>
      <c r="S99" s="10">
        <f>GETPIVOTDATA("[Measures].[RPS]",$M$87,"[branches x].[City]","[branches x].[City].&amp;[Petersonport]")</f>
        <v>41981.243589743586</v>
      </c>
      <c r="AA99" t="s">
        <v>418</v>
      </c>
      <c r="AB99">
        <v>4</v>
      </c>
    </row>
    <row r="100" spans="1:28" x14ac:dyDescent="0.25">
      <c r="D100" s="3" t="s">
        <v>418</v>
      </c>
      <c r="E100">
        <v>4</v>
      </c>
      <c r="J100" s="3" t="s">
        <v>1027</v>
      </c>
      <c r="K100">
        <v>21167448</v>
      </c>
      <c r="M100" s="3" t="s">
        <v>1117</v>
      </c>
      <c r="N100" s="10">
        <v>136</v>
      </c>
      <c r="O100" s="10">
        <v>17748.286764705881</v>
      </c>
      <c r="Q100" s="3" t="s">
        <v>1117</v>
      </c>
      <c r="R100" s="10">
        <f>GETPIVOTDATA("[Measures].[Sum of Staff_Count]",$M$87,"[branches x].[City]","[branches x].[City].&amp;[Port Michaelhaven]")</f>
        <v>136</v>
      </c>
      <c r="S100" s="10">
        <f>GETPIVOTDATA("[Measures].[RPS]",$M$87,"[branches x].[City]","[branches x].[City].&amp;[Port Michaelhaven]")</f>
        <v>17748.286764705881</v>
      </c>
      <c r="AA100" t="s">
        <v>424</v>
      </c>
      <c r="AB100">
        <v>3</v>
      </c>
    </row>
    <row r="101" spans="1:28" x14ac:dyDescent="0.25">
      <c r="D101" s="3" t="s">
        <v>424</v>
      </c>
      <c r="E101">
        <v>3</v>
      </c>
      <c r="K101" s="10"/>
      <c r="M101" s="3" t="s">
        <v>1108</v>
      </c>
      <c r="N101" s="10">
        <v>162</v>
      </c>
      <c r="O101" s="10">
        <v>28247.858024691359</v>
      </c>
      <c r="Q101" s="3" t="s">
        <v>1108</v>
      </c>
      <c r="R101" s="10">
        <f>GETPIVOTDATA("[Measures].[Sum of Staff_Count]",$M$87,"[branches x].[City]","[branches x].[City].&amp;[Robertaport]")</f>
        <v>162</v>
      </c>
      <c r="S101" s="10">
        <f>GETPIVOTDATA("[Measures].[RPS]",$M$87,"[branches x].[City]","[branches x].[City].&amp;[Robertaport]")</f>
        <v>28247.858024691359</v>
      </c>
      <c r="AA101" t="s">
        <v>428</v>
      </c>
      <c r="AB101">
        <v>2</v>
      </c>
    </row>
    <row r="102" spans="1:28" x14ac:dyDescent="0.25">
      <c r="D102" s="3" t="s">
        <v>428</v>
      </c>
      <c r="E102">
        <v>2</v>
      </c>
      <c r="K102" s="10"/>
      <c r="M102" s="3" t="s">
        <v>1112</v>
      </c>
      <c r="N102" s="10">
        <v>23</v>
      </c>
      <c r="O102" s="10">
        <v>187736.30434782608</v>
      </c>
      <c r="Q102" s="3" t="s">
        <v>1112</v>
      </c>
      <c r="R102" s="10">
        <f>GETPIVOTDATA("[Measures].[Sum of Staff_Count]",$M$87,"[branches x].[City]","[branches x].[City].&amp;[Simonland]")</f>
        <v>23</v>
      </c>
      <c r="S102" s="10">
        <f>GETPIVOTDATA("[Measures].[RPS]",$M$87,"[branches x].[City]","[branches x].[City].&amp;[Simonland]")</f>
        <v>187736.30434782608</v>
      </c>
      <c r="AA102" t="s">
        <v>442</v>
      </c>
      <c r="AB102">
        <v>3</v>
      </c>
    </row>
    <row r="103" spans="1:28" x14ac:dyDescent="0.25">
      <c r="D103" s="3" t="s">
        <v>442</v>
      </c>
      <c r="E103">
        <v>3</v>
      </c>
      <c r="K103" s="10"/>
      <c r="M103" s="3" t="s">
        <v>1122</v>
      </c>
      <c r="N103" s="10">
        <v>52</v>
      </c>
      <c r="O103" s="10">
        <v>20948.557692307691</v>
      </c>
      <c r="Q103" s="3" t="s">
        <v>1122</v>
      </c>
      <c r="R103" s="10">
        <f>GETPIVOTDATA("[Measures].[Sum of Staff_Count]",$M$87,"[branches x].[City]","[branches x].[City].&amp;[South Andrew]")</f>
        <v>52</v>
      </c>
      <c r="S103" s="10">
        <f>GETPIVOTDATA("[Measures].[RPS]",$M$87,"[branches x].[City]","[branches x].[City].&amp;[South Andrew]")</f>
        <v>20948.557692307691</v>
      </c>
      <c r="AA103" t="s">
        <v>444</v>
      </c>
      <c r="AB103">
        <v>2</v>
      </c>
    </row>
    <row r="104" spans="1:28" x14ac:dyDescent="0.25">
      <c r="D104" s="3" t="s">
        <v>444</v>
      </c>
      <c r="E104">
        <v>2</v>
      </c>
      <c r="K104" s="10"/>
      <c r="M104" s="3" t="s">
        <v>1115</v>
      </c>
      <c r="N104" s="10">
        <v>115</v>
      </c>
      <c r="O104" s="10">
        <v>29892.53043478261</v>
      </c>
      <c r="Q104" s="3" t="s">
        <v>1115</v>
      </c>
      <c r="R104" s="10">
        <f>GETPIVOTDATA("[Measures].[Sum of Staff_Count]",$M$87,"[branches x].[City]","[branches x].[City].&amp;[Stevenfurt]")</f>
        <v>115</v>
      </c>
      <c r="S104" s="10">
        <f>GETPIVOTDATA("[Measures].[RPS]",$M$87,"[branches x].[City]","[branches x].[City].&amp;[Stevenfurt]")</f>
        <v>29892.53043478261</v>
      </c>
      <c r="AA104" t="s">
        <v>448</v>
      </c>
      <c r="AB104">
        <v>3</v>
      </c>
    </row>
    <row r="105" spans="1:28" x14ac:dyDescent="0.25">
      <c r="D105" s="3" t="s">
        <v>448</v>
      </c>
      <c r="E105">
        <v>3</v>
      </c>
      <c r="K105" s="10"/>
      <c r="M105" s="3" t="s">
        <v>1113</v>
      </c>
      <c r="N105" s="10">
        <v>46</v>
      </c>
      <c r="O105" s="10">
        <v>92231</v>
      </c>
      <c r="Q105" s="3" t="s">
        <v>1113</v>
      </c>
      <c r="R105" s="10">
        <f>GETPIVOTDATA("[Measures].[Sum of Staff_Count]",$M$87,"[branches x].[City]","[branches x].[City].&amp;[West Linda]")</f>
        <v>46</v>
      </c>
      <c r="S105" s="10">
        <f>GETPIVOTDATA("[Measures].[RPS]",$M$87,"[branches x].[City]","[branches x].[City].&amp;[West Linda]")</f>
        <v>92231</v>
      </c>
      <c r="AA105" t="s">
        <v>450</v>
      </c>
      <c r="AB105">
        <v>3</v>
      </c>
    </row>
    <row r="106" spans="1:28" x14ac:dyDescent="0.25">
      <c r="D106" s="3" t="s">
        <v>450</v>
      </c>
      <c r="E106">
        <v>3</v>
      </c>
      <c r="K106" s="10"/>
      <c r="M106" s="3" t="s">
        <v>1123</v>
      </c>
      <c r="N106" s="10">
        <v>113</v>
      </c>
      <c r="O106" s="10">
        <v>9518.5221238938047</v>
      </c>
      <c r="Q106" s="3" t="s">
        <v>1123</v>
      </c>
      <c r="R106" s="10">
        <f>GETPIVOTDATA("[Measures].[Sum of Staff_Count]",$M$87,"[branches x].[City]","[branches x].[City].&amp;[West Loganmouth]")</f>
        <v>113</v>
      </c>
      <c r="S106" s="10">
        <f>GETPIVOTDATA("[Measures].[RPS]",$M$87,"[branches x].[City]","[branches x].[City].&amp;[West Loganmouth]")</f>
        <v>9518.5221238938047</v>
      </c>
      <c r="AA106" t="s">
        <v>452</v>
      </c>
      <c r="AB106">
        <v>2</v>
      </c>
    </row>
    <row r="107" spans="1:28" x14ac:dyDescent="0.25">
      <c r="D107" s="3" t="s">
        <v>452</v>
      </c>
      <c r="E107">
        <v>2</v>
      </c>
      <c r="K107" s="10"/>
      <c r="M107" s="3" t="s">
        <v>1124</v>
      </c>
      <c r="N107" s="10">
        <v>85</v>
      </c>
      <c r="O107" s="10">
        <v>11238.129411764707</v>
      </c>
      <c r="Q107" s="3" t="s">
        <v>1124</v>
      </c>
      <c r="R107" s="10">
        <f>GETPIVOTDATA("[Measures].[Sum of Staff_Count]",$M$87,"[branches x].[City]","[branches x].[City].&amp;[West Robert]")</f>
        <v>85</v>
      </c>
      <c r="S107" s="10">
        <f>GETPIVOTDATA("[Measures].[RPS]",$M$87,"[branches x].[City]","[branches x].[City].&amp;[West Robert]")</f>
        <v>11238.129411764707</v>
      </c>
      <c r="AA107" t="s">
        <v>454</v>
      </c>
      <c r="AB107">
        <v>2</v>
      </c>
    </row>
    <row r="108" spans="1:28" x14ac:dyDescent="0.25">
      <c r="D108" s="3" t="s">
        <v>454</v>
      </c>
      <c r="E108">
        <v>2</v>
      </c>
      <c r="K108" s="10"/>
      <c r="M108" s="3" t="s">
        <v>1027</v>
      </c>
      <c r="N108">
        <v>1951</v>
      </c>
      <c r="O108">
        <v>30457.05791901589</v>
      </c>
      <c r="AA108" t="s">
        <v>458</v>
      </c>
      <c r="AB108">
        <v>3</v>
      </c>
    </row>
    <row r="109" spans="1:28" x14ac:dyDescent="0.25">
      <c r="D109" s="3" t="s">
        <v>458</v>
      </c>
      <c r="E109">
        <v>3</v>
      </c>
      <c r="K109" s="10"/>
      <c r="AA109" t="s">
        <v>462</v>
      </c>
      <c r="AB109">
        <v>3</v>
      </c>
    </row>
    <row r="110" spans="1:28" x14ac:dyDescent="0.25">
      <c r="D110" s="3" t="s">
        <v>462</v>
      </c>
      <c r="E110">
        <v>3</v>
      </c>
      <c r="K110" s="10"/>
      <c r="AA110" t="s">
        <v>472</v>
      </c>
      <c r="AB110">
        <v>2</v>
      </c>
    </row>
    <row r="111" spans="1:28" x14ac:dyDescent="0.25">
      <c r="D111" s="3" t="s">
        <v>472</v>
      </c>
      <c r="E111">
        <v>2</v>
      </c>
      <c r="K111" s="10"/>
      <c r="AA111" t="s">
        <v>476</v>
      </c>
      <c r="AB111">
        <v>4</v>
      </c>
    </row>
    <row r="112" spans="1:28" x14ac:dyDescent="0.25">
      <c r="D112" s="3" t="s">
        <v>476</v>
      </c>
      <c r="E112">
        <v>4</v>
      </c>
      <c r="K112" s="10"/>
      <c r="AA112" t="s">
        <v>478</v>
      </c>
      <c r="AB112">
        <v>2</v>
      </c>
    </row>
    <row r="113" spans="4:28" x14ac:dyDescent="0.25">
      <c r="D113" s="3" t="s">
        <v>478</v>
      </c>
      <c r="E113">
        <v>2</v>
      </c>
      <c r="K113" s="10"/>
      <c r="AA113" t="s">
        <v>486</v>
      </c>
      <c r="AB113">
        <v>2</v>
      </c>
    </row>
    <row r="114" spans="4:28" x14ac:dyDescent="0.25">
      <c r="D114" s="3" t="s">
        <v>486</v>
      </c>
      <c r="E114">
        <v>2</v>
      </c>
      <c r="K114" s="10"/>
      <c r="AA114" t="s">
        <v>502</v>
      </c>
      <c r="AB114">
        <v>2</v>
      </c>
    </row>
    <row r="115" spans="4:28" x14ac:dyDescent="0.25">
      <c r="D115" s="3" t="s">
        <v>502</v>
      </c>
      <c r="E115">
        <v>2</v>
      </c>
      <c r="K115" s="10"/>
      <c r="AA115" t="s">
        <v>508</v>
      </c>
      <c r="AB115">
        <v>2</v>
      </c>
    </row>
    <row r="116" spans="4:28" x14ac:dyDescent="0.25">
      <c r="D116" s="3" t="s">
        <v>508</v>
      </c>
      <c r="E116">
        <v>2</v>
      </c>
      <c r="K116" s="10"/>
      <c r="AA116" t="s">
        <v>512</v>
      </c>
      <c r="AB116">
        <v>2</v>
      </c>
    </row>
    <row r="117" spans="4:28" x14ac:dyDescent="0.25">
      <c r="D117" s="3" t="s">
        <v>512</v>
      </c>
      <c r="E117">
        <v>2</v>
      </c>
      <c r="K117" s="10"/>
      <c r="AA117" t="s">
        <v>516</v>
      </c>
      <c r="AB117">
        <v>2</v>
      </c>
    </row>
    <row r="118" spans="4:28" x14ac:dyDescent="0.25">
      <c r="D118" s="3" t="s">
        <v>516</v>
      </c>
      <c r="E118">
        <v>2</v>
      </c>
      <c r="AA118" t="s">
        <v>518</v>
      </c>
      <c r="AB118">
        <v>4</v>
      </c>
    </row>
    <row r="119" spans="4:28" x14ac:dyDescent="0.25">
      <c r="D119" s="3" t="s">
        <v>518</v>
      </c>
      <c r="E119">
        <v>4</v>
      </c>
      <c r="AA119" t="s">
        <v>522</v>
      </c>
      <c r="AB119">
        <v>2</v>
      </c>
    </row>
    <row r="120" spans="4:28" x14ac:dyDescent="0.25">
      <c r="D120" s="3" t="s">
        <v>522</v>
      </c>
      <c r="E120">
        <v>2</v>
      </c>
      <c r="AA120" t="s">
        <v>524</v>
      </c>
      <c r="AB120">
        <v>4</v>
      </c>
    </row>
    <row r="121" spans="4:28" x14ac:dyDescent="0.25">
      <c r="D121" s="3" t="s">
        <v>524</v>
      </c>
      <c r="E121">
        <v>4</v>
      </c>
      <c r="AA121" t="s">
        <v>530</v>
      </c>
      <c r="AB121">
        <v>2</v>
      </c>
    </row>
    <row r="122" spans="4:28" x14ac:dyDescent="0.25">
      <c r="D122" s="3" t="s">
        <v>530</v>
      </c>
      <c r="E122">
        <v>2</v>
      </c>
      <c r="AA122" t="s">
        <v>532</v>
      </c>
      <c r="AB122">
        <v>2</v>
      </c>
    </row>
    <row r="123" spans="4:28" x14ac:dyDescent="0.25">
      <c r="D123" s="3" t="s">
        <v>532</v>
      </c>
      <c r="E123">
        <v>2</v>
      </c>
      <c r="AA123" t="s">
        <v>540</v>
      </c>
      <c r="AB123">
        <v>2</v>
      </c>
    </row>
    <row r="124" spans="4:28" x14ac:dyDescent="0.25">
      <c r="D124" s="3" t="s">
        <v>540</v>
      </c>
      <c r="E124">
        <v>2</v>
      </c>
      <c r="AA124" t="s">
        <v>542</v>
      </c>
      <c r="AB124">
        <v>5</v>
      </c>
    </row>
    <row r="125" spans="4:28" x14ac:dyDescent="0.25">
      <c r="D125" s="3" t="s">
        <v>542</v>
      </c>
      <c r="E125">
        <v>5</v>
      </c>
      <c r="AA125" t="s">
        <v>546</v>
      </c>
      <c r="AB125">
        <v>3</v>
      </c>
    </row>
    <row r="126" spans="4:28" x14ac:dyDescent="0.25">
      <c r="D126" s="3" t="s">
        <v>546</v>
      </c>
      <c r="E126">
        <v>3</v>
      </c>
      <c r="AA126" t="s">
        <v>552</v>
      </c>
      <c r="AB126">
        <v>3</v>
      </c>
    </row>
    <row r="127" spans="4:28" x14ac:dyDescent="0.25">
      <c r="D127" s="3" t="s">
        <v>552</v>
      </c>
      <c r="E127">
        <v>3</v>
      </c>
      <c r="AA127" t="s">
        <v>556</v>
      </c>
      <c r="AB127">
        <v>3</v>
      </c>
    </row>
    <row r="128" spans="4:28" x14ac:dyDescent="0.25">
      <c r="D128" s="3" t="s">
        <v>556</v>
      </c>
      <c r="E128">
        <v>3</v>
      </c>
      <c r="AA128" t="s">
        <v>558</v>
      </c>
      <c r="AB128">
        <v>5</v>
      </c>
    </row>
    <row r="129" spans="4:28" x14ac:dyDescent="0.25">
      <c r="D129" s="3" t="s">
        <v>558</v>
      </c>
      <c r="E129">
        <v>5</v>
      </c>
      <c r="AA129" t="s">
        <v>562</v>
      </c>
      <c r="AB129">
        <v>3</v>
      </c>
    </row>
    <row r="130" spans="4:28" x14ac:dyDescent="0.25">
      <c r="D130" s="3" t="s">
        <v>562</v>
      </c>
      <c r="E130">
        <v>3</v>
      </c>
      <c r="AA130" t="s">
        <v>572</v>
      </c>
      <c r="AB130">
        <v>3</v>
      </c>
    </row>
    <row r="131" spans="4:28" x14ac:dyDescent="0.25">
      <c r="D131" s="3" t="s">
        <v>572</v>
      </c>
      <c r="E131">
        <v>3</v>
      </c>
      <c r="AA131" t="s">
        <v>574</v>
      </c>
      <c r="AB131">
        <v>2</v>
      </c>
    </row>
    <row r="132" spans="4:28" x14ac:dyDescent="0.25">
      <c r="D132" s="3" t="s">
        <v>574</v>
      </c>
      <c r="E132">
        <v>2</v>
      </c>
      <c r="AA132" t="s">
        <v>576</v>
      </c>
      <c r="AB132">
        <v>3</v>
      </c>
    </row>
    <row r="133" spans="4:28" x14ac:dyDescent="0.25">
      <c r="D133" s="3" t="s">
        <v>576</v>
      </c>
      <c r="E133">
        <v>3</v>
      </c>
      <c r="AA133" t="s">
        <v>580</v>
      </c>
      <c r="AB133">
        <v>2</v>
      </c>
    </row>
    <row r="134" spans="4:28" x14ac:dyDescent="0.25">
      <c r="D134" s="3" t="s">
        <v>580</v>
      </c>
      <c r="E134">
        <v>2</v>
      </c>
      <c r="AA134" t="s">
        <v>584</v>
      </c>
      <c r="AB134">
        <v>2</v>
      </c>
    </row>
    <row r="135" spans="4:28" x14ac:dyDescent="0.25">
      <c r="D135" s="3" t="s">
        <v>584</v>
      </c>
      <c r="E135">
        <v>2</v>
      </c>
      <c r="AA135" t="s">
        <v>588</v>
      </c>
      <c r="AB135">
        <v>3</v>
      </c>
    </row>
    <row r="136" spans="4:28" x14ac:dyDescent="0.25">
      <c r="D136" s="3" t="s">
        <v>588</v>
      </c>
      <c r="E136">
        <v>3</v>
      </c>
      <c r="AA136" t="s">
        <v>590</v>
      </c>
      <c r="AB136">
        <v>2</v>
      </c>
    </row>
    <row r="137" spans="4:28" x14ac:dyDescent="0.25">
      <c r="D137" s="3" t="s">
        <v>590</v>
      </c>
      <c r="E137">
        <v>2</v>
      </c>
      <c r="AA137" t="s">
        <v>594</v>
      </c>
      <c r="AB137">
        <v>2</v>
      </c>
    </row>
    <row r="138" spans="4:28" x14ac:dyDescent="0.25">
      <c r="D138" s="3" t="s">
        <v>594</v>
      </c>
      <c r="E138">
        <v>2</v>
      </c>
      <c r="AA138" t="s">
        <v>600</v>
      </c>
      <c r="AB138">
        <v>2</v>
      </c>
    </row>
    <row r="139" spans="4:28" x14ac:dyDescent="0.25">
      <c r="D139" s="3" t="s">
        <v>600</v>
      </c>
      <c r="E139">
        <v>2</v>
      </c>
      <c r="AA139" t="s">
        <v>610</v>
      </c>
      <c r="AB139">
        <v>2</v>
      </c>
    </row>
    <row r="140" spans="4:28" x14ac:dyDescent="0.25">
      <c r="D140" s="3" t="s">
        <v>610</v>
      </c>
      <c r="E140">
        <v>2</v>
      </c>
      <c r="AA140" t="s">
        <v>612</v>
      </c>
      <c r="AB140">
        <v>2</v>
      </c>
    </row>
    <row r="141" spans="4:28" x14ac:dyDescent="0.25">
      <c r="D141" s="3" t="s">
        <v>612</v>
      </c>
      <c r="E141">
        <v>2</v>
      </c>
      <c r="AA141" t="s">
        <v>616</v>
      </c>
      <c r="AB141">
        <v>2</v>
      </c>
    </row>
    <row r="142" spans="4:28" x14ac:dyDescent="0.25">
      <c r="D142" s="3" t="s">
        <v>616</v>
      </c>
      <c r="E142">
        <v>2</v>
      </c>
      <c r="AA142" t="s">
        <v>624</v>
      </c>
      <c r="AB142">
        <v>4</v>
      </c>
    </row>
    <row r="143" spans="4:28" x14ac:dyDescent="0.25">
      <c r="D143" s="3" t="s">
        <v>624</v>
      </c>
      <c r="E143">
        <v>4</v>
      </c>
      <c r="AA143" t="s">
        <v>626</v>
      </c>
      <c r="AB143">
        <v>4</v>
      </c>
    </row>
    <row r="144" spans="4:28" x14ac:dyDescent="0.25">
      <c r="D144" s="3" t="s">
        <v>626</v>
      </c>
      <c r="E144">
        <v>4</v>
      </c>
      <c r="AA144" t="s">
        <v>628</v>
      </c>
      <c r="AB144">
        <v>2</v>
      </c>
    </row>
    <row r="145" spans="4:28" x14ac:dyDescent="0.25">
      <c r="D145" s="3" t="s">
        <v>628</v>
      </c>
      <c r="E145">
        <v>2</v>
      </c>
      <c r="AA145" t="s">
        <v>632</v>
      </c>
      <c r="AB145">
        <v>3</v>
      </c>
    </row>
    <row r="146" spans="4:28" x14ac:dyDescent="0.25">
      <c r="D146" s="3" t="s">
        <v>632</v>
      </c>
      <c r="E146">
        <v>3</v>
      </c>
      <c r="AA146" t="s">
        <v>636</v>
      </c>
      <c r="AB146">
        <v>5</v>
      </c>
    </row>
    <row r="147" spans="4:28" x14ac:dyDescent="0.25">
      <c r="D147" s="3" t="s">
        <v>636</v>
      </c>
      <c r="E147">
        <v>5</v>
      </c>
      <c r="AA147" t="s">
        <v>638</v>
      </c>
      <c r="AB147">
        <v>2</v>
      </c>
    </row>
    <row r="148" spans="4:28" x14ac:dyDescent="0.25">
      <c r="D148" s="3" t="s">
        <v>638</v>
      </c>
      <c r="E148">
        <v>2</v>
      </c>
      <c r="AA148" t="s">
        <v>648</v>
      </c>
      <c r="AB148">
        <v>4</v>
      </c>
    </row>
    <row r="149" spans="4:28" x14ac:dyDescent="0.25">
      <c r="D149" s="3" t="s">
        <v>648</v>
      </c>
      <c r="E149">
        <v>4</v>
      </c>
      <c r="AA149" t="s">
        <v>650</v>
      </c>
      <c r="AB149">
        <v>3</v>
      </c>
    </row>
    <row r="150" spans="4:28" x14ac:dyDescent="0.25">
      <c r="D150" s="3" t="s">
        <v>650</v>
      </c>
      <c r="E150">
        <v>3</v>
      </c>
      <c r="AA150" t="s">
        <v>654</v>
      </c>
      <c r="AB150">
        <v>2</v>
      </c>
    </row>
    <row r="151" spans="4:28" x14ac:dyDescent="0.25">
      <c r="D151" s="3" t="s">
        <v>654</v>
      </c>
      <c r="E151">
        <v>2</v>
      </c>
      <c r="AA151" t="s">
        <v>660</v>
      </c>
      <c r="AB151">
        <v>3</v>
      </c>
    </row>
    <row r="152" spans="4:28" x14ac:dyDescent="0.25">
      <c r="D152" s="3" t="s">
        <v>660</v>
      </c>
      <c r="E152">
        <v>3</v>
      </c>
      <c r="AA152" t="s">
        <v>662</v>
      </c>
      <c r="AB152">
        <v>2</v>
      </c>
    </row>
    <row r="153" spans="4:28" x14ac:dyDescent="0.25">
      <c r="D153" s="3" t="s">
        <v>662</v>
      </c>
      <c r="E153">
        <v>2</v>
      </c>
      <c r="AA153" t="s">
        <v>670</v>
      </c>
      <c r="AB153">
        <v>2</v>
      </c>
    </row>
    <row r="154" spans="4:28" x14ac:dyDescent="0.25">
      <c r="D154" s="3" t="s">
        <v>670</v>
      </c>
      <c r="E154">
        <v>2</v>
      </c>
      <c r="AA154" t="s">
        <v>672</v>
      </c>
      <c r="AB154">
        <v>4</v>
      </c>
    </row>
    <row r="155" spans="4:28" x14ac:dyDescent="0.25">
      <c r="D155" s="3" t="s">
        <v>672</v>
      </c>
      <c r="E155">
        <v>4</v>
      </c>
      <c r="AA155" t="s">
        <v>676</v>
      </c>
      <c r="AB155">
        <v>2</v>
      </c>
    </row>
    <row r="156" spans="4:28" x14ac:dyDescent="0.25">
      <c r="D156" s="3" t="s">
        <v>676</v>
      </c>
      <c r="E156">
        <v>2</v>
      </c>
      <c r="AA156" t="s">
        <v>682</v>
      </c>
      <c r="AB156">
        <v>2</v>
      </c>
    </row>
    <row r="157" spans="4:28" x14ac:dyDescent="0.25">
      <c r="D157" s="3" t="s">
        <v>682</v>
      </c>
      <c r="E157">
        <v>2</v>
      </c>
      <c r="AA157" t="s">
        <v>686</v>
      </c>
      <c r="AB157">
        <v>3</v>
      </c>
    </row>
    <row r="158" spans="4:28" x14ac:dyDescent="0.25">
      <c r="D158" s="3" t="s">
        <v>686</v>
      </c>
      <c r="E158">
        <v>3</v>
      </c>
      <c r="AA158" t="s">
        <v>688</v>
      </c>
      <c r="AB158">
        <v>2</v>
      </c>
    </row>
    <row r="159" spans="4:28" x14ac:dyDescent="0.25">
      <c r="D159" s="3" t="s">
        <v>688</v>
      </c>
      <c r="E159">
        <v>2</v>
      </c>
      <c r="AA159" t="s">
        <v>690</v>
      </c>
      <c r="AB159">
        <v>2</v>
      </c>
    </row>
    <row r="160" spans="4:28" x14ac:dyDescent="0.25">
      <c r="D160" s="3" t="s">
        <v>690</v>
      </c>
      <c r="E160">
        <v>2</v>
      </c>
      <c r="AA160" t="s">
        <v>694</v>
      </c>
      <c r="AB160">
        <v>2</v>
      </c>
    </row>
    <row r="161" spans="4:28" x14ac:dyDescent="0.25">
      <c r="D161" s="3" t="s">
        <v>694</v>
      </c>
      <c r="E161">
        <v>2</v>
      </c>
      <c r="AA161" t="s">
        <v>698</v>
      </c>
      <c r="AB161">
        <v>3</v>
      </c>
    </row>
    <row r="162" spans="4:28" x14ac:dyDescent="0.25">
      <c r="D162" s="3" t="s">
        <v>698</v>
      </c>
      <c r="E162">
        <v>3</v>
      </c>
      <c r="AA162" t="s">
        <v>702</v>
      </c>
      <c r="AB162">
        <v>2</v>
      </c>
    </row>
    <row r="163" spans="4:28" x14ac:dyDescent="0.25">
      <c r="D163" s="3" t="s">
        <v>702</v>
      </c>
      <c r="E163">
        <v>2</v>
      </c>
      <c r="AA163" t="s">
        <v>704</v>
      </c>
      <c r="AB163">
        <v>3</v>
      </c>
    </row>
    <row r="164" spans="4:28" x14ac:dyDescent="0.25">
      <c r="D164" s="3" t="s">
        <v>704</v>
      </c>
      <c r="E164">
        <v>3</v>
      </c>
      <c r="AA164" t="s">
        <v>706</v>
      </c>
      <c r="AB164">
        <v>2</v>
      </c>
    </row>
    <row r="165" spans="4:28" x14ac:dyDescent="0.25">
      <c r="D165" s="3" t="s">
        <v>706</v>
      </c>
      <c r="E165">
        <v>2</v>
      </c>
      <c r="AA165" t="s">
        <v>708</v>
      </c>
      <c r="AB165">
        <v>3</v>
      </c>
    </row>
    <row r="166" spans="4:28" x14ac:dyDescent="0.25">
      <c r="D166" s="3" t="s">
        <v>708</v>
      </c>
      <c r="E166">
        <v>3</v>
      </c>
      <c r="AA166" t="s">
        <v>710</v>
      </c>
      <c r="AB166">
        <v>4</v>
      </c>
    </row>
    <row r="167" spans="4:28" x14ac:dyDescent="0.25">
      <c r="D167" s="3" t="s">
        <v>710</v>
      </c>
      <c r="E167">
        <v>4</v>
      </c>
      <c r="AA167" t="s">
        <v>716</v>
      </c>
      <c r="AB167">
        <v>3</v>
      </c>
    </row>
    <row r="168" spans="4:28" x14ac:dyDescent="0.25">
      <c r="D168" s="3" t="s">
        <v>716</v>
      </c>
      <c r="E168">
        <v>3</v>
      </c>
      <c r="AA168" t="s">
        <v>722</v>
      </c>
      <c r="AB168">
        <v>3</v>
      </c>
    </row>
    <row r="169" spans="4:28" x14ac:dyDescent="0.25">
      <c r="D169" s="3" t="s">
        <v>722</v>
      </c>
      <c r="E169">
        <v>3</v>
      </c>
      <c r="AA169" t="s">
        <v>728</v>
      </c>
      <c r="AB169">
        <v>2</v>
      </c>
    </row>
    <row r="170" spans="4:28" x14ac:dyDescent="0.25">
      <c r="D170" s="3" t="s">
        <v>728</v>
      </c>
      <c r="E170">
        <v>2</v>
      </c>
      <c r="AA170" t="s">
        <v>730</v>
      </c>
      <c r="AB170">
        <v>2</v>
      </c>
    </row>
    <row r="171" spans="4:28" x14ac:dyDescent="0.25">
      <c r="D171" s="3" t="s">
        <v>730</v>
      </c>
      <c r="E171">
        <v>2</v>
      </c>
      <c r="AA171" t="s">
        <v>732</v>
      </c>
      <c r="AB171">
        <v>2</v>
      </c>
    </row>
    <row r="172" spans="4:28" x14ac:dyDescent="0.25">
      <c r="D172" s="3" t="s">
        <v>732</v>
      </c>
      <c r="E172">
        <v>2</v>
      </c>
      <c r="AA172" t="s">
        <v>734</v>
      </c>
      <c r="AB172">
        <v>2</v>
      </c>
    </row>
    <row r="173" spans="4:28" x14ac:dyDescent="0.25">
      <c r="D173" s="3" t="s">
        <v>734</v>
      </c>
      <c r="E173">
        <v>2</v>
      </c>
      <c r="AA173" t="s">
        <v>744</v>
      </c>
      <c r="AB173">
        <v>3</v>
      </c>
    </row>
    <row r="174" spans="4:28" x14ac:dyDescent="0.25">
      <c r="D174" s="3" t="s">
        <v>744</v>
      </c>
      <c r="E174">
        <v>3</v>
      </c>
      <c r="AA174" t="s">
        <v>748</v>
      </c>
      <c r="AB174">
        <v>3</v>
      </c>
    </row>
    <row r="175" spans="4:28" x14ac:dyDescent="0.25">
      <c r="D175" s="3" t="s">
        <v>748</v>
      </c>
      <c r="E175">
        <v>3</v>
      </c>
      <c r="AA175" t="s">
        <v>750</v>
      </c>
      <c r="AB175">
        <v>4</v>
      </c>
    </row>
    <row r="176" spans="4:28" x14ac:dyDescent="0.25">
      <c r="D176" s="3" t="s">
        <v>750</v>
      </c>
      <c r="E176">
        <v>4</v>
      </c>
      <c r="AA176" t="s">
        <v>752</v>
      </c>
      <c r="AB176">
        <v>2</v>
      </c>
    </row>
    <row r="177" spans="4:28" x14ac:dyDescent="0.25">
      <c r="D177" s="3" t="s">
        <v>752</v>
      </c>
      <c r="E177">
        <v>2</v>
      </c>
      <c r="AA177" t="s">
        <v>754</v>
      </c>
      <c r="AB177">
        <v>3</v>
      </c>
    </row>
    <row r="178" spans="4:28" x14ac:dyDescent="0.25">
      <c r="D178" s="3" t="s">
        <v>754</v>
      </c>
      <c r="E178">
        <v>3</v>
      </c>
      <c r="AA178" t="s">
        <v>760</v>
      </c>
      <c r="AB178">
        <v>4</v>
      </c>
    </row>
    <row r="179" spans="4:28" x14ac:dyDescent="0.25">
      <c r="D179" s="3" t="s">
        <v>760</v>
      </c>
      <c r="E179">
        <v>4</v>
      </c>
      <c r="AA179" t="s">
        <v>766</v>
      </c>
      <c r="AB179">
        <v>2</v>
      </c>
    </row>
    <row r="180" spans="4:28" x14ac:dyDescent="0.25">
      <c r="D180" s="3" t="s">
        <v>766</v>
      </c>
      <c r="E180">
        <v>2</v>
      </c>
      <c r="AA180" t="s">
        <v>772</v>
      </c>
      <c r="AB180">
        <v>3</v>
      </c>
    </row>
    <row r="181" spans="4:28" x14ac:dyDescent="0.25">
      <c r="D181" s="3" t="s">
        <v>772</v>
      </c>
      <c r="E181">
        <v>3</v>
      </c>
      <c r="AA181" t="s">
        <v>774</v>
      </c>
      <c r="AB181">
        <v>4</v>
      </c>
    </row>
    <row r="182" spans="4:28" x14ac:dyDescent="0.25">
      <c r="D182" s="3" t="s">
        <v>774</v>
      </c>
      <c r="E182">
        <v>4</v>
      </c>
      <c r="AA182" t="s">
        <v>782</v>
      </c>
      <c r="AB182">
        <v>3</v>
      </c>
    </row>
    <row r="183" spans="4:28" x14ac:dyDescent="0.25">
      <c r="D183" s="3" t="s">
        <v>782</v>
      </c>
      <c r="E183">
        <v>3</v>
      </c>
      <c r="AA183" t="s">
        <v>784</v>
      </c>
      <c r="AB183">
        <v>2</v>
      </c>
    </row>
    <row r="184" spans="4:28" x14ac:dyDescent="0.25">
      <c r="D184" s="3" t="s">
        <v>784</v>
      </c>
      <c r="E184">
        <v>2</v>
      </c>
      <c r="AA184" t="s">
        <v>786</v>
      </c>
      <c r="AB184">
        <v>2</v>
      </c>
    </row>
    <row r="185" spans="4:28" x14ac:dyDescent="0.25">
      <c r="D185" s="3" t="s">
        <v>786</v>
      </c>
      <c r="E185">
        <v>2</v>
      </c>
      <c r="AA185" t="s">
        <v>788</v>
      </c>
      <c r="AB185">
        <v>2</v>
      </c>
    </row>
    <row r="186" spans="4:28" x14ac:dyDescent="0.25">
      <c r="D186" s="3" t="s">
        <v>788</v>
      </c>
      <c r="E186">
        <v>2</v>
      </c>
      <c r="AA186" t="s">
        <v>790</v>
      </c>
      <c r="AB186">
        <v>3</v>
      </c>
    </row>
    <row r="187" spans="4:28" x14ac:dyDescent="0.25">
      <c r="D187" s="3" t="s">
        <v>790</v>
      </c>
      <c r="E187">
        <v>3</v>
      </c>
      <c r="AA187" t="s">
        <v>796</v>
      </c>
      <c r="AB187">
        <v>3</v>
      </c>
    </row>
    <row r="188" spans="4:28" x14ac:dyDescent="0.25">
      <c r="D188" s="3" t="s">
        <v>796</v>
      </c>
      <c r="E188">
        <v>3</v>
      </c>
      <c r="AA188" t="s">
        <v>804</v>
      </c>
      <c r="AB188">
        <v>2</v>
      </c>
    </row>
    <row r="189" spans="4:28" x14ac:dyDescent="0.25">
      <c r="D189" s="3" t="s">
        <v>804</v>
      </c>
      <c r="E189">
        <v>2</v>
      </c>
      <c r="AA189" t="s">
        <v>808</v>
      </c>
      <c r="AB189">
        <v>3</v>
      </c>
    </row>
    <row r="190" spans="4:28" x14ac:dyDescent="0.25">
      <c r="D190" s="3" t="s">
        <v>808</v>
      </c>
      <c r="E190">
        <v>3</v>
      </c>
      <c r="AA190" t="s">
        <v>812</v>
      </c>
      <c r="AB190">
        <v>3</v>
      </c>
    </row>
    <row r="191" spans="4:28" x14ac:dyDescent="0.25">
      <c r="D191" s="3" t="s">
        <v>812</v>
      </c>
      <c r="E191">
        <v>3</v>
      </c>
      <c r="AA191" t="s">
        <v>820</v>
      </c>
      <c r="AB191">
        <v>3</v>
      </c>
    </row>
    <row r="192" spans="4:28" x14ac:dyDescent="0.25">
      <c r="D192" s="3" t="s">
        <v>820</v>
      </c>
      <c r="E192">
        <v>3</v>
      </c>
      <c r="AA192" t="s">
        <v>822</v>
      </c>
      <c r="AB192">
        <v>2</v>
      </c>
    </row>
    <row r="193" spans="4:28" x14ac:dyDescent="0.25">
      <c r="D193" s="3" t="s">
        <v>822</v>
      </c>
      <c r="E193">
        <v>2</v>
      </c>
      <c r="AA193" t="s">
        <v>824</v>
      </c>
      <c r="AB193">
        <v>3</v>
      </c>
    </row>
    <row r="194" spans="4:28" x14ac:dyDescent="0.25">
      <c r="D194" s="3" t="s">
        <v>824</v>
      </c>
      <c r="E194">
        <v>3</v>
      </c>
      <c r="AA194" t="s">
        <v>828</v>
      </c>
      <c r="AB194">
        <v>3</v>
      </c>
    </row>
    <row r="195" spans="4:28" x14ac:dyDescent="0.25">
      <c r="D195" s="3" t="s">
        <v>828</v>
      </c>
      <c r="E195">
        <v>3</v>
      </c>
      <c r="AA195" t="s">
        <v>830</v>
      </c>
      <c r="AB195">
        <v>2</v>
      </c>
    </row>
    <row r="196" spans="4:28" x14ac:dyDescent="0.25">
      <c r="D196" s="3" t="s">
        <v>830</v>
      </c>
      <c r="E196">
        <v>2</v>
      </c>
      <c r="AA196" t="s">
        <v>832</v>
      </c>
      <c r="AB196">
        <v>2</v>
      </c>
    </row>
    <row r="197" spans="4:28" x14ac:dyDescent="0.25">
      <c r="D197" s="3" t="s">
        <v>832</v>
      </c>
      <c r="E197">
        <v>2</v>
      </c>
      <c r="AA197" t="s">
        <v>834</v>
      </c>
      <c r="AB197">
        <v>3</v>
      </c>
    </row>
    <row r="198" spans="4:28" x14ac:dyDescent="0.25">
      <c r="D198" s="3" t="s">
        <v>834</v>
      </c>
      <c r="E198">
        <v>3</v>
      </c>
      <c r="AA198" t="s">
        <v>838</v>
      </c>
      <c r="AB198">
        <v>2</v>
      </c>
    </row>
    <row r="199" spans="4:28" x14ac:dyDescent="0.25">
      <c r="D199" s="3" t="s">
        <v>838</v>
      </c>
      <c r="E199">
        <v>2</v>
      </c>
      <c r="AA199" t="s">
        <v>840</v>
      </c>
      <c r="AB199">
        <v>2</v>
      </c>
    </row>
    <row r="200" spans="4:28" x14ac:dyDescent="0.25">
      <c r="D200" s="3" t="s">
        <v>840</v>
      </c>
      <c r="E200">
        <v>2</v>
      </c>
      <c r="AA200" t="s">
        <v>846</v>
      </c>
      <c r="AB200">
        <v>2</v>
      </c>
    </row>
    <row r="201" spans="4:28" x14ac:dyDescent="0.25">
      <c r="D201" s="3" t="s">
        <v>846</v>
      </c>
      <c r="E201">
        <v>2</v>
      </c>
      <c r="AA201" t="s">
        <v>850</v>
      </c>
      <c r="AB201">
        <v>2</v>
      </c>
    </row>
    <row r="202" spans="4:28" x14ac:dyDescent="0.25">
      <c r="D202" s="3" t="s">
        <v>850</v>
      </c>
      <c r="E202">
        <v>2</v>
      </c>
      <c r="AA202" t="s">
        <v>856</v>
      </c>
      <c r="AB202">
        <v>5</v>
      </c>
    </row>
    <row r="203" spans="4:28" x14ac:dyDescent="0.25">
      <c r="D203" s="3" t="s">
        <v>856</v>
      </c>
      <c r="E203">
        <v>5</v>
      </c>
      <c r="AA203" t="s">
        <v>858</v>
      </c>
      <c r="AB203">
        <v>2</v>
      </c>
    </row>
    <row r="204" spans="4:28" x14ac:dyDescent="0.25">
      <c r="D204" s="3" t="s">
        <v>858</v>
      </c>
      <c r="E204">
        <v>2</v>
      </c>
      <c r="AA204" t="s">
        <v>860</v>
      </c>
      <c r="AB204">
        <v>2</v>
      </c>
    </row>
    <row r="205" spans="4:28" x14ac:dyDescent="0.25">
      <c r="D205" s="3" t="s">
        <v>860</v>
      </c>
      <c r="E205">
        <v>2</v>
      </c>
      <c r="AA205" t="s">
        <v>864</v>
      </c>
      <c r="AB205">
        <v>2</v>
      </c>
    </row>
    <row r="206" spans="4:28" x14ac:dyDescent="0.25">
      <c r="D206" s="3" t="s">
        <v>864</v>
      </c>
      <c r="E206">
        <v>2</v>
      </c>
      <c r="AA206" t="s">
        <v>866</v>
      </c>
      <c r="AB206">
        <v>2</v>
      </c>
    </row>
    <row r="207" spans="4:28" x14ac:dyDescent="0.25">
      <c r="D207" s="3" t="s">
        <v>866</v>
      </c>
      <c r="E207">
        <v>2</v>
      </c>
      <c r="AA207" t="s">
        <v>868</v>
      </c>
      <c r="AB207">
        <v>4</v>
      </c>
    </row>
    <row r="208" spans="4:28" x14ac:dyDescent="0.25">
      <c r="D208" s="3" t="s">
        <v>868</v>
      </c>
      <c r="E208">
        <v>4</v>
      </c>
      <c r="AA208" t="s">
        <v>870</v>
      </c>
      <c r="AB208">
        <v>7</v>
      </c>
    </row>
    <row r="209" spans="4:28" x14ac:dyDescent="0.25">
      <c r="D209" s="3" t="s">
        <v>870</v>
      </c>
      <c r="E209">
        <v>7</v>
      </c>
      <c r="AA209" t="s">
        <v>871</v>
      </c>
      <c r="AB209">
        <v>2</v>
      </c>
    </row>
    <row r="210" spans="4:28" x14ac:dyDescent="0.25">
      <c r="D210" s="3" t="s">
        <v>871</v>
      </c>
      <c r="E210">
        <v>2</v>
      </c>
      <c r="AA210" t="s">
        <v>873</v>
      </c>
      <c r="AB210">
        <v>3</v>
      </c>
    </row>
    <row r="211" spans="4:28" x14ac:dyDescent="0.25">
      <c r="D211" s="3" t="s">
        <v>873</v>
      </c>
      <c r="E211">
        <v>3</v>
      </c>
      <c r="AA211" t="s">
        <v>883</v>
      </c>
      <c r="AB211">
        <v>5</v>
      </c>
    </row>
    <row r="212" spans="4:28" x14ac:dyDescent="0.25">
      <c r="D212" s="3" t="s">
        <v>883</v>
      </c>
      <c r="E212">
        <v>5</v>
      </c>
      <c r="AA212" t="s">
        <v>885</v>
      </c>
      <c r="AB212">
        <v>6</v>
      </c>
    </row>
    <row r="213" spans="4:28" x14ac:dyDescent="0.25">
      <c r="D213" s="3" t="s">
        <v>885</v>
      </c>
      <c r="E213">
        <v>6</v>
      </c>
      <c r="AA213" t="s">
        <v>891</v>
      </c>
      <c r="AB213">
        <v>2</v>
      </c>
    </row>
    <row r="214" spans="4:28" x14ac:dyDescent="0.25">
      <c r="D214" s="3" t="s">
        <v>891</v>
      </c>
      <c r="E214">
        <v>2</v>
      </c>
      <c r="AA214" t="s">
        <v>895</v>
      </c>
      <c r="AB214">
        <v>2</v>
      </c>
    </row>
    <row r="215" spans="4:28" x14ac:dyDescent="0.25">
      <c r="D215" s="3" t="s">
        <v>895</v>
      </c>
      <c r="E215">
        <v>2</v>
      </c>
      <c r="AA215" t="s">
        <v>899</v>
      </c>
      <c r="AB215">
        <v>2</v>
      </c>
    </row>
    <row r="216" spans="4:28" x14ac:dyDescent="0.25">
      <c r="D216" s="3" t="s">
        <v>899</v>
      </c>
      <c r="E216">
        <v>2</v>
      </c>
      <c r="AA216" t="s">
        <v>903</v>
      </c>
      <c r="AB216">
        <v>3</v>
      </c>
    </row>
    <row r="217" spans="4:28" x14ac:dyDescent="0.25">
      <c r="D217" s="3" t="s">
        <v>903</v>
      </c>
      <c r="E217">
        <v>3</v>
      </c>
      <c r="AA217" t="s">
        <v>905</v>
      </c>
      <c r="AB217">
        <v>2</v>
      </c>
    </row>
    <row r="218" spans="4:28" x14ac:dyDescent="0.25">
      <c r="D218" s="3" t="s">
        <v>905</v>
      </c>
      <c r="E218">
        <v>2</v>
      </c>
      <c r="AA218" t="s">
        <v>907</v>
      </c>
      <c r="AB218">
        <v>2</v>
      </c>
    </row>
    <row r="219" spans="4:28" x14ac:dyDescent="0.25">
      <c r="D219" s="3" t="s">
        <v>907</v>
      </c>
      <c r="E219">
        <v>2</v>
      </c>
      <c r="AA219" t="s">
        <v>911</v>
      </c>
      <c r="AB219">
        <v>4</v>
      </c>
    </row>
    <row r="220" spans="4:28" x14ac:dyDescent="0.25">
      <c r="D220" s="3" t="s">
        <v>911</v>
      </c>
      <c r="E220">
        <v>4</v>
      </c>
      <c r="AA220" t="s">
        <v>915</v>
      </c>
      <c r="AB220">
        <v>2</v>
      </c>
    </row>
    <row r="221" spans="4:28" x14ac:dyDescent="0.25">
      <c r="D221" s="3" t="s">
        <v>915</v>
      </c>
      <c r="E221">
        <v>2</v>
      </c>
      <c r="AA221" t="s">
        <v>921</v>
      </c>
      <c r="AB221">
        <v>3</v>
      </c>
    </row>
    <row r="222" spans="4:28" x14ac:dyDescent="0.25">
      <c r="D222" s="3" t="s">
        <v>921</v>
      </c>
      <c r="E222">
        <v>3</v>
      </c>
      <c r="AA222" t="s">
        <v>929</v>
      </c>
      <c r="AB222">
        <v>4</v>
      </c>
    </row>
    <row r="223" spans="4:28" x14ac:dyDescent="0.25">
      <c r="D223" s="3" t="s">
        <v>929</v>
      </c>
      <c r="E223">
        <v>4</v>
      </c>
      <c r="AA223" t="s">
        <v>933</v>
      </c>
      <c r="AB223">
        <v>3</v>
      </c>
    </row>
    <row r="224" spans="4:28" x14ac:dyDescent="0.25">
      <c r="D224" s="3" t="s">
        <v>933</v>
      </c>
      <c r="E224">
        <v>3</v>
      </c>
      <c r="AA224" t="s">
        <v>943</v>
      </c>
      <c r="AB224">
        <v>2</v>
      </c>
    </row>
    <row r="225" spans="4:28" x14ac:dyDescent="0.25">
      <c r="D225" s="3" t="s">
        <v>943</v>
      </c>
      <c r="E225">
        <v>2</v>
      </c>
      <c r="AA225" t="s">
        <v>951</v>
      </c>
      <c r="AB225">
        <v>2</v>
      </c>
    </row>
    <row r="226" spans="4:28" x14ac:dyDescent="0.25">
      <c r="D226" s="3" t="s">
        <v>951</v>
      </c>
      <c r="E226">
        <v>2</v>
      </c>
      <c r="AA226" t="s">
        <v>957</v>
      </c>
      <c r="AB226">
        <v>3</v>
      </c>
    </row>
    <row r="227" spans="4:28" x14ac:dyDescent="0.25">
      <c r="D227" s="3" t="s">
        <v>957</v>
      </c>
      <c r="E227">
        <v>3</v>
      </c>
      <c r="AA227" t="s">
        <v>959</v>
      </c>
      <c r="AB227">
        <v>2</v>
      </c>
    </row>
    <row r="228" spans="4:28" x14ac:dyDescent="0.25">
      <c r="D228" s="3" t="s">
        <v>959</v>
      </c>
      <c r="E228">
        <v>2</v>
      </c>
      <c r="AA228" t="s">
        <v>965</v>
      </c>
      <c r="AB228">
        <v>3</v>
      </c>
    </row>
    <row r="229" spans="4:28" x14ac:dyDescent="0.25">
      <c r="D229" s="3" t="s">
        <v>965</v>
      </c>
      <c r="E229">
        <v>3</v>
      </c>
      <c r="AA229" t="s">
        <v>971</v>
      </c>
      <c r="AB229">
        <v>2</v>
      </c>
    </row>
    <row r="230" spans="4:28" x14ac:dyDescent="0.25">
      <c r="D230" s="3" t="s">
        <v>971</v>
      </c>
      <c r="E230">
        <v>2</v>
      </c>
      <c r="AA230" t="s">
        <v>973</v>
      </c>
      <c r="AB230">
        <v>6</v>
      </c>
    </row>
    <row r="231" spans="4:28" x14ac:dyDescent="0.25">
      <c r="D231" s="3" t="s">
        <v>973</v>
      </c>
      <c r="E231">
        <v>6</v>
      </c>
      <c r="AA231" t="s">
        <v>975</v>
      </c>
      <c r="AB231">
        <v>2</v>
      </c>
    </row>
    <row r="232" spans="4:28" x14ac:dyDescent="0.25">
      <c r="D232" s="3" t="s">
        <v>975</v>
      </c>
      <c r="E232">
        <v>2</v>
      </c>
      <c r="AA232" t="s">
        <v>977</v>
      </c>
      <c r="AB232">
        <v>2</v>
      </c>
    </row>
    <row r="233" spans="4:28" x14ac:dyDescent="0.25">
      <c r="D233" s="3" t="s">
        <v>977</v>
      </c>
      <c r="E233">
        <v>2</v>
      </c>
      <c r="AA233" t="s">
        <v>991</v>
      </c>
      <c r="AB233">
        <v>2</v>
      </c>
    </row>
    <row r="234" spans="4:28" x14ac:dyDescent="0.25">
      <c r="D234" s="3" t="s">
        <v>991</v>
      </c>
      <c r="E234">
        <v>2</v>
      </c>
      <c r="AA234" t="s">
        <v>993</v>
      </c>
      <c r="AB234">
        <v>4</v>
      </c>
    </row>
    <row r="235" spans="4:28" x14ac:dyDescent="0.25">
      <c r="D235" s="3" t="s">
        <v>993</v>
      </c>
      <c r="E235">
        <v>4</v>
      </c>
      <c r="AA235" t="s">
        <v>999</v>
      </c>
      <c r="AB235">
        <v>2</v>
      </c>
    </row>
    <row r="236" spans="4:28" x14ac:dyDescent="0.25">
      <c r="D236" s="3" t="s">
        <v>999</v>
      </c>
      <c r="E236">
        <v>2</v>
      </c>
      <c r="AA236" t="s">
        <v>1005</v>
      </c>
      <c r="AB236">
        <v>2</v>
      </c>
    </row>
    <row r="237" spans="4:28" x14ac:dyDescent="0.25">
      <c r="D237" s="3" t="s">
        <v>1005</v>
      </c>
      <c r="E237">
        <v>2</v>
      </c>
      <c r="AA237" t="s">
        <v>1007</v>
      </c>
      <c r="AB237">
        <v>2</v>
      </c>
    </row>
    <row r="238" spans="4:28" x14ac:dyDescent="0.25">
      <c r="D238" s="3" t="s">
        <v>1007</v>
      </c>
      <c r="E238">
        <v>2</v>
      </c>
      <c r="AA238" t="s">
        <v>1009</v>
      </c>
      <c r="AB238">
        <v>3</v>
      </c>
    </row>
    <row r="239" spans="4:28" x14ac:dyDescent="0.25">
      <c r="D239" s="3" t="s">
        <v>1009</v>
      </c>
      <c r="E239">
        <v>3</v>
      </c>
      <c r="AA239" t="s">
        <v>1021</v>
      </c>
      <c r="AB239">
        <v>4</v>
      </c>
    </row>
    <row r="240" spans="4:28" x14ac:dyDescent="0.25">
      <c r="D240" s="3" t="s">
        <v>1021</v>
      </c>
      <c r="E240">
        <v>4</v>
      </c>
      <c r="AA240" t="s">
        <v>1027</v>
      </c>
      <c r="AB240">
        <v>646</v>
      </c>
    </row>
    <row r="241" spans="4:5" x14ac:dyDescent="0.25">
      <c r="D241" s="3" t="s">
        <v>1027</v>
      </c>
      <c r="E241">
        <v>646</v>
      </c>
    </row>
  </sheetData>
  <pageMargins left="0.7" right="0.7" top="0.75" bottom="0.75" header="0.3" footer="0.3"/>
  <drawing r:id="rId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9ECA-F10A-4C00-955C-10BB25CDBA00}">
  <dimension ref="A15"/>
  <sheetViews>
    <sheetView showGridLines="0" tabSelected="1" topLeftCell="A5" zoomScale="51" zoomScaleNormal="60" workbookViewId="0">
      <selection activeCell="Y13" sqref="Y13"/>
    </sheetView>
  </sheetViews>
  <sheetFormatPr defaultRowHeight="15" x14ac:dyDescent="0.25"/>
  <cols>
    <col min="1" max="16384" width="9.140625" style="4"/>
  </cols>
  <sheetData>
    <row r="15" spans="1:1" x14ac:dyDescent="0.25">
      <c r="A15"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60D9-106F-44F3-9F95-61FDAAF33DA3}">
  <dimension ref="A29"/>
  <sheetViews>
    <sheetView showGridLines="0" topLeftCell="B6" zoomScale="42" zoomScaleNormal="40" workbookViewId="0">
      <selection activeCell="C22" sqref="C22"/>
    </sheetView>
  </sheetViews>
  <sheetFormatPr defaultRowHeight="15" x14ac:dyDescent="0.25"/>
  <cols>
    <col min="1" max="16384" width="9.140625" style="9"/>
  </cols>
  <sheetData>
    <row r="29" s="9"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562EC-DE48-48A0-85DE-AC80493222E2}">
  <dimension ref="A1"/>
  <sheetViews>
    <sheetView showGridLines="0" topLeftCell="A4" zoomScale="57" zoomScaleNormal="100" workbookViewId="0">
      <selection activeCell="AA17" sqref="AA17"/>
    </sheetView>
  </sheetViews>
  <sheetFormatPr defaultRowHeight="15" x14ac:dyDescent="0.25"/>
  <cols>
    <col min="1" max="16384" width="9.140625" style="12"/>
  </cols>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8FDC-65CC-4453-B31D-2B92F8864EBE}">
  <dimension ref="A1"/>
  <sheetViews>
    <sheetView showGridLines="0" topLeftCell="X2" zoomScale="40" zoomScaleNormal="40" workbookViewId="0">
      <selection activeCell="BQ63" sqref="BQ63"/>
    </sheetView>
  </sheetViews>
  <sheetFormatPr defaultRowHeight="15" x14ac:dyDescent="0.25"/>
  <cols>
    <col min="1" max="42" width="9.140625" style="16"/>
    <col min="43" max="43" width="9.140625" style="16" customWidth="1"/>
    <col min="44" max="16384" width="9.140625" style="16"/>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54F9-8550-489B-8336-B828EEB33108}">
  <sheetPr>
    <pageSetUpPr fitToPage="1"/>
  </sheetPr>
  <dimension ref="A1"/>
  <sheetViews>
    <sheetView showGridLines="0" zoomScale="30" zoomScaleNormal="30" workbookViewId="0">
      <selection activeCell="AW48" sqref="AW48"/>
    </sheetView>
  </sheetViews>
  <sheetFormatPr defaultRowHeight="15" x14ac:dyDescent="0.25"/>
  <cols>
    <col min="1" max="16384" width="9.140625" style="19"/>
  </cols>
  <sheetData/>
  <pageMargins left="0.7" right="0.7" top="0.75" bottom="0.75" header="0.3" footer="0.3"/>
  <pageSetup paperSize="9" scale="2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76B83E2E-B352-41E0-AD08-486B6C3FF324}">
  <ds:schemaRefs/>
</ds:datastoreItem>
</file>

<file path=customXml/itemProps2.xml><?xml version="1.0" encoding="utf-8"?>
<ds:datastoreItem xmlns:ds="http://schemas.openxmlformats.org/officeDocument/2006/customXml" ds:itemID="{6FD084F5-F3CA-4BD2-BD4A-9BD003B2C168}">
  <ds:schemaRefs/>
</ds:datastoreItem>
</file>

<file path=customXml/itemProps3.xml><?xml version="1.0" encoding="utf-8"?>
<ds:datastoreItem xmlns:ds="http://schemas.openxmlformats.org/officeDocument/2006/customXml" ds:itemID="{DEF6E418-981C-4AAF-A46C-C51A99218DEE}">
  <ds:schemaRefs/>
</ds:datastoreItem>
</file>

<file path=customXml/itemProps4.xml><?xml version="1.0" encoding="utf-8"?>
<ds:datastoreItem xmlns:ds="http://schemas.openxmlformats.org/officeDocument/2006/customXml" ds:itemID="{19B1E1BD-EEC6-4D07-B29C-691A716DD522}">
  <ds:schemaRefs/>
</ds:datastoreItem>
</file>

<file path=customXml/itemProps5.xml><?xml version="1.0" encoding="utf-8"?>
<ds:datastoreItem xmlns:ds="http://schemas.openxmlformats.org/officeDocument/2006/customXml" ds:itemID="{B39B2245-7AB5-49BC-86E7-9C5DFE570393}">
  <ds:schemaRefs/>
</ds:datastoreItem>
</file>

<file path=customXml/itemProps6.xml><?xml version="1.0" encoding="utf-8"?>
<ds:datastoreItem xmlns:ds="http://schemas.openxmlformats.org/officeDocument/2006/customXml" ds:itemID="{4FC4716C-E3B1-4387-BC79-71A59955A9CA}">
  <ds:schemaRefs/>
</ds:datastoreItem>
</file>

<file path=customXml/itemProps7.xml><?xml version="1.0" encoding="utf-8"?>
<ds:datastoreItem xmlns:ds="http://schemas.openxmlformats.org/officeDocument/2006/customXml" ds:itemID="{506AD0CA-DDF6-4FF1-A50C-001CD0644258}">
  <ds:schemaRefs/>
</ds:datastoreItem>
</file>

<file path=customXml/itemProps8.xml><?xml version="1.0" encoding="utf-8"?>
<ds:datastoreItem xmlns:ds="http://schemas.openxmlformats.org/officeDocument/2006/customXml" ds:itemID="{77D59EDD-CDF2-4F50-978E-1DAA100DE1A6}">
  <ds:schemaRefs/>
</ds:datastoreItem>
</file>

<file path=customXml/itemProps9.xml><?xml version="1.0" encoding="utf-8"?>
<ds:datastoreItem xmlns:ds="http://schemas.openxmlformats.org/officeDocument/2006/customXml" ds:itemID="{B77094BF-5061-4503-B16E-934F4C8D9AF0}">
  <ds:schemaRefs/>
</ds:datastoreItem>
</file>

<file path=customXml/itemProps10.xml><?xml version="1.0" encoding="utf-8"?>
<ds:datastoreItem xmlns:ds="http://schemas.openxmlformats.org/officeDocument/2006/customXml" ds:itemID="{8D15367A-B444-4D06-A1CE-F25EE5BF2F61}">
  <ds:schemaRefs/>
</ds:datastoreItem>
</file>

<file path=customXml/itemProps11.xml><?xml version="1.0" encoding="utf-8"?>
<ds:datastoreItem xmlns:ds="http://schemas.openxmlformats.org/officeDocument/2006/customXml" ds:itemID="{18756071-C148-4694-BD29-39AE4B789C46}">
  <ds:schemaRefs/>
</ds:datastoreItem>
</file>

<file path=customXml/itemProps12.xml><?xml version="1.0" encoding="utf-8"?>
<ds:datastoreItem xmlns:ds="http://schemas.openxmlformats.org/officeDocument/2006/customXml" ds:itemID="{2EE779BA-F90C-49CA-A787-6CC30B878FA2}">
  <ds:schemaRefs/>
</ds:datastoreItem>
</file>

<file path=customXml/itemProps13.xml><?xml version="1.0" encoding="utf-8"?>
<ds:datastoreItem xmlns:ds="http://schemas.openxmlformats.org/officeDocument/2006/customXml" ds:itemID="{1D3FC352-070A-4037-B9D2-902F9440D150}">
  <ds:schemaRefs/>
</ds:datastoreItem>
</file>

<file path=customXml/itemProps14.xml><?xml version="1.0" encoding="utf-8"?>
<ds:datastoreItem xmlns:ds="http://schemas.openxmlformats.org/officeDocument/2006/customXml" ds:itemID="{9E516F10-D8DD-4144-96BE-E2225F21D775}">
  <ds:schemaRefs/>
</ds:datastoreItem>
</file>

<file path=customXml/itemProps15.xml><?xml version="1.0" encoding="utf-8"?>
<ds:datastoreItem xmlns:ds="http://schemas.openxmlformats.org/officeDocument/2006/customXml" ds:itemID="{05095226-20E9-41F4-ACF4-C9A17FDB93F3}">
  <ds:schemaRefs/>
</ds:datastoreItem>
</file>

<file path=customXml/itemProps16.xml><?xml version="1.0" encoding="utf-8"?>
<ds:datastoreItem xmlns:ds="http://schemas.openxmlformats.org/officeDocument/2006/customXml" ds:itemID="{A3657227-C713-4917-8B63-A8E28A853356}">
  <ds:schemaRefs/>
</ds:datastoreItem>
</file>

<file path=customXml/itemProps17.xml><?xml version="1.0" encoding="utf-8"?>
<ds:datastoreItem xmlns:ds="http://schemas.openxmlformats.org/officeDocument/2006/customXml" ds:itemID="{43FE2DF0-ED93-4525-8A30-1448E030FC2F}">
  <ds:schemaRefs/>
</ds:datastoreItem>
</file>

<file path=customXml/itemProps18.xml><?xml version="1.0" encoding="utf-8"?>
<ds:datastoreItem xmlns:ds="http://schemas.openxmlformats.org/officeDocument/2006/customXml" ds:itemID="{7655B9DB-7E82-45AD-9372-CE78B70338E9}">
  <ds:schemaRefs/>
</ds:datastoreItem>
</file>

<file path=customXml/itemProps19.xml><?xml version="1.0" encoding="utf-8"?>
<ds:datastoreItem xmlns:ds="http://schemas.openxmlformats.org/officeDocument/2006/customXml" ds:itemID="{2E641D39-3979-4FCC-8C2D-3ACAF1C1F8B7}">
  <ds:schemaRefs/>
</ds:datastoreItem>
</file>

<file path=customXml/itemProps20.xml><?xml version="1.0" encoding="utf-8"?>
<ds:datastoreItem xmlns:ds="http://schemas.openxmlformats.org/officeDocument/2006/customXml" ds:itemID="{F076EC17-F9F2-45E9-A05E-882320502C90}">
  <ds:schemaRefs/>
</ds:datastoreItem>
</file>

<file path=customXml/itemProps21.xml><?xml version="1.0" encoding="utf-8"?>
<ds:datastoreItem xmlns:ds="http://schemas.openxmlformats.org/officeDocument/2006/customXml" ds:itemID="{DE1ADEAF-0622-4FDA-A5CB-70D003FAF61D}">
  <ds:schemaRefs/>
</ds:datastoreItem>
</file>

<file path=customXml/itemProps22.xml><?xml version="1.0" encoding="utf-8"?>
<ds:datastoreItem xmlns:ds="http://schemas.openxmlformats.org/officeDocument/2006/customXml" ds:itemID="{161D5447-81A1-4442-9BCF-9E966E419858}">
  <ds:schemaRefs/>
</ds:datastoreItem>
</file>

<file path=customXml/itemProps23.xml><?xml version="1.0" encoding="utf-8"?>
<ds:datastoreItem xmlns:ds="http://schemas.openxmlformats.org/officeDocument/2006/customXml" ds:itemID="{32AF7119-74BA-4E4B-8B6E-8BD301A31A93}">
  <ds:schemaRefs/>
</ds:datastoreItem>
</file>

<file path=customXml/itemProps24.xml><?xml version="1.0" encoding="utf-8"?>
<ds:datastoreItem xmlns:ds="http://schemas.openxmlformats.org/officeDocument/2006/customXml" ds:itemID="{048ADB73-A55E-439F-8744-49F3CA530B68}">
  <ds:schemaRefs/>
</ds:datastoreItem>
</file>

<file path=customXml/itemProps25.xml><?xml version="1.0" encoding="utf-8"?>
<ds:datastoreItem xmlns:ds="http://schemas.openxmlformats.org/officeDocument/2006/customXml" ds:itemID="{95091385-2547-427A-B474-08EF81C60491}">
  <ds:schemaRefs/>
</ds:datastoreItem>
</file>

<file path=customXml/itemProps26.xml><?xml version="1.0" encoding="utf-8"?>
<ds:datastoreItem xmlns:ds="http://schemas.openxmlformats.org/officeDocument/2006/customXml" ds:itemID="{90EC0181-D743-4740-BB78-DEEA069B6FFF}">
  <ds:schemaRefs/>
</ds:datastoreItem>
</file>

<file path=customXml/itemProps27.xml><?xml version="1.0" encoding="utf-8"?>
<ds:datastoreItem xmlns:ds="http://schemas.openxmlformats.org/officeDocument/2006/customXml" ds:itemID="{B48ED4D1-F39A-4FF6-8B5C-12619BF1F975}">
  <ds:schemaRefs/>
</ds:datastoreItem>
</file>

<file path=customXml/itemProps28.xml><?xml version="1.0" encoding="utf-8"?>
<ds:datastoreItem xmlns:ds="http://schemas.openxmlformats.org/officeDocument/2006/customXml" ds:itemID="{46AF6643-99AA-42D2-872F-27D5E24DFB2E}">
  <ds:schemaRefs>
    <ds:schemaRef ds:uri="http://schemas.microsoft.com/DataMashup"/>
  </ds:schemaRefs>
</ds:datastoreItem>
</file>

<file path=customXml/itemProps29.xml><?xml version="1.0" encoding="utf-8"?>
<ds:datastoreItem xmlns:ds="http://schemas.openxmlformats.org/officeDocument/2006/customXml" ds:itemID="{8CFF6E2D-A29B-49D9-AD4C-44E8824B32F6}">
  <ds:schemaRefs/>
</ds:datastoreItem>
</file>

<file path=customXml/itemProps30.xml><?xml version="1.0" encoding="utf-8"?>
<ds:datastoreItem xmlns:ds="http://schemas.openxmlformats.org/officeDocument/2006/customXml" ds:itemID="{5F6E9BD5-6DB8-404D-98F4-D3A9A0C4B2C2}">
  <ds:schemaRefs/>
</ds:datastoreItem>
</file>

<file path=customXml/itemProps31.xml><?xml version="1.0" encoding="utf-8"?>
<ds:datastoreItem xmlns:ds="http://schemas.openxmlformats.org/officeDocument/2006/customXml" ds:itemID="{E20E0EA3-F7EB-48D3-AEE5-F90A74E07040}">
  <ds:schemaRefs/>
</ds:datastoreItem>
</file>

<file path=customXml/itemProps32.xml><?xml version="1.0" encoding="utf-8"?>
<ds:datastoreItem xmlns:ds="http://schemas.openxmlformats.org/officeDocument/2006/customXml" ds:itemID="{20179923-935D-49E9-96AE-290D34BB4C51}">
  <ds:schemaRefs/>
</ds:datastoreItem>
</file>

<file path=customXml/itemProps33.xml><?xml version="1.0" encoding="utf-8"?>
<ds:datastoreItem xmlns:ds="http://schemas.openxmlformats.org/officeDocument/2006/customXml" ds:itemID="{78F53DA8-9604-4AE5-A143-0FC05C53D246}">
  <ds:schemaRefs/>
</ds:datastoreItem>
</file>

<file path=customXml/itemProps34.xml><?xml version="1.0" encoding="utf-8"?>
<ds:datastoreItem xmlns:ds="http://schemas.openxmlformats.org/officeDocument/2006/customXml" ds:itemID="{5672DBAD-7761-484E-ADE5-1189E9A52670}">
  <ds:schemaRefs/>
</ds:datastoreItem>
</file>

<file path=customXml/itemProps35.xml><?xml version="1.0" encoding="utf-8"?>
<ds:datastoreItem xmlns:ds="http://schemas.openxmlformats.org/officeDocument/2006/customXml" ds:itemID="{957750F5-3638-45AA-B84D-5749DB9D894E}">
  <ds:schemaRefs/>
</ds:datastoreItem>
</file>

<file path=customXml/itemProps36.xml><?xml version="1.0" encoding="utf-8"?>
<ds:datastoreItem xmlns:ds="http://schemas.openxmlformats.org/officeDocument/2006/customXml" ds:itemID="{CD88525E-E9AA-49A6-92DD-CBE86B41C81B}">
  <ds:schemaRefs/>
</ds:datastoreItem>
</file>

<file path=customXml/itemProps37.xml><?xml version="1.0" encoding="utf-8"?>
<ds:datastoreItem xmlns:ds="http://schemas.openxmlformats.org/officeDocument/2006/customXml" ds:itemID="{EAC259D6-7EBE-417C-ADCB-67E84E5FB63D}">
  <ds:schemaRefs/>
</ds:datastoreItem>
</file>

<file path=customXml/itemProps38.xml><?xml version="1.0" encoding="utf-8"?>
<ds:datastoreItem xmlns:ds="http://schemas.openxmlformats.org/officeDocument/2006/customXml" ds:itemID="{46E794B7-2BEE-49FD-A42D-033FF09F7E79}">
  <ds:schemaRefs/>
</ds:datastoreItem>
</file>

<file path=customXml/itemProps39.xml><?xml version="1.0" encoding="utf-8"?>
<ds:datastoreItem xmlns:ds="http://schemas.openxmlformats.org/officeDocument/2006/customXml" ds:itemID="{AD7B18B2-3016-47BF-9766-F0D1538D692C}">
  <ds:schemaRefs/>
</ds:datastoreItem>
</file>

<file path=customXml/itemProps40.xml><?xml version="1.0" encoding="utf-8"?>
<ds:datastoreItem xmlns:ds="http://schemas.openxmlformats.org/officeDocument/2006/customXml" ds:itemID="{F05A74E6-4EC1-477B-BBF7-4113142FDC1A}">
  <ds:schemaRefs/>
</ds:datastoreItem>
</file>

<file path=customXml/itemProps41.xml><?xml version="1.0" encoding="utf-8"?>
<ds:datastoreItem xmlns:ds="http://schemas.openxmlformats.org/officeDocument/2006/customXml" ds:itemID="{4AD4AC2A-BFD4-40EF-AFB3-87F52885BF7D}">
  <ds:schemaRefs/>
</ds:datastoreItem>
</file>

<file path=customXml/itemProps42.xml><?xml version="1.0" encoding="utf-8"?>
<ds:datastoreItem xmlns:ds="http://schemas.openxmlformats.org/officeDocument/2006/customXml" ds:itemID="{20D3CA2F-3FBB-4186-AD55-4C199DAD6B42}">
  <ds:schemaRefs/>
</ds:datastoreItem>
</file>

<file path=customXml/itemProps43.xml><?xml version="1.0" encoding="utf-8"?>
<ds:datastoreItem xmlns:ds="http://schemas.openxmlformats.org/officeDocument/2006/customXml" ds:itemID="{F94C9A93-730B-4DCA-BE50-90ABF0D9A279}">
  <ds:schemaRefs/>
</ds:datastoreItem>
</file>

<file path=customXml/itemProps44.xml><?xml version="1.0" encoding="utf-8"?>
<ds:datastoreItem xmlns:ds="http://schemas.openxmlformats.org/officeDocument/2006/customXml" ds:itemID="{593080BD-52FF-43A9-BD41-968C5119F2B2}">
  <ds:schemaRefs/>
</ds:datastoreItem>
</file>

<file path=customXml/itemProps45.xml><?xml version="1.0" encoding="utf-8"?>
<ds:datastoreItem xmlns:ds="http://schemas.openxmlformats.org/officeDocument/2006/customXml" ds:itemID="{3A00E14E-0483-4F0A-9C9B-98105A3D85A8}">
  <ds:schemaRefs/>
</ds:datastoreItem>
</file>

<file path=customXml/itemProps46.xml><?xml version="1.0" encoding="utf-8"?>
<ds:datastoreItem xmlns:ds="http://schemas.openxmlformats.org/officeDocument/2006/customXml" ds:itemID="{1DB8DADC-5CF7-43F0-A3E8-EFEBC8164254}">
  <ds:schemaRefs/>
</ds:datastoreItem>
</file>

<file path=customXml/itemProps47.xml><?xml version="1.0" encoding="utf-8"?>
<ds:datastoreItem xmlns:ds="http://schemas.openxmlformats.org/officeDocument/2006/customXml" ds:itemID="{A049F36F-FFCA-4207-8AC4-8BEF45A4AB50}">
  <ds:schemaRefs/>
</ds:datastoreItem>
</file>

<file path=customXml/itemProps48.xml><?xml version="1.0" encoding="utf-8"?>
<ds:datastoreItem xmlns:ds="http://schemas.openxmlformats.org/officeDocument/2006/customXml" ds:itemID="{A76101D2-E8DB-4FC8-8A0D-3DB430FDD98A}">
  <ds:schemaRefs/>
</ds:datastoreItem>
</file>

<file path=customXml/itemProps49.xml><?xml version="1.0" encoding="utf-8"?>
<ds:datastoreItem xmlns:ds="http://schemas.openxmlformats.org/officeDocument/2006/customXml" ds:itemID="{E379BDF3-2FA3-48C5-9481-0A2A5CF4B9AA}">
  <ds:schemaRefs/>
</ds:datastoreItem>
</file>

<file path=customXml/itemProps50.xml><?xml version="1.0" encoding="utf-8"?>
<ds:datastoreItem xmlns:ds="http://schemas.openxmlformats.org/officeDocument/2006/customXml" ds:itemID="{35F43BFF-3286-47C5-804A-A65823021E52}">
  <ds:schemaRefs/>
</ds:datastoreItem>
</file>

<file path=customXml/itemProps51.xml><?xml version="1.0" encoding="utf-8"?>
<ds:datastoreItem xmlns:ds="http://schemas.openxmlformats.org/officeDocument/2006/customXml" ds:itemID="{8160E354-A56F-4B78-A248-44F76B815B61}">
  <ds:schemaRefs/>
</ds:datastoreItem>
</file>

<file path=customXml/itemProps52.xml><?xml version="1.0" encoding="utf-8"?>
<ds:datastoreItem xmlns:ds="http://schemas.openxmlformats.org/officeDocument/2006/customXml" ds:itemID="{D6036425-FA6E-4928-BED3-F318C9E842AA}">
  <ds:schemaRefs/>
</ds:datastoreItem>
</file>

<file path=customXml/itemProps53.xml><?xml version="1.0" encoding="utf-8"?>
<ds:datastoreItem xmlns:ds="http://schemas.openxmlformats.org/officeDocument/2006/customXml" ds:itemID="{81D34F6A-1770-4CB8-AE47-337A053D4BF2}">
  <ds:schemaRefs/>
</ds:datastoreItem>
</file>

<file path=customXml/itemProps54.xml><?xml version="1.0" encoding="utf-8"?>
<ds:datastoreItem xmlns:ds="http://schemas.openxmlformats.org/officeDocument/2006/customXml" ds:itemID="{A43D051B-622C-4142-A249-1D633ED0E0EB}">
  <ds:schemaRefs/>
</ds:datastoreItem>
</file>

<file path=customXml/itemProps55.xml><?xml version="1.0" encoding="utf-8"?>
<ds:datastoreItem xmlns:ds="http://schemas.openxmlformats.org/officeDocument/2006/customXml" ds:itemID="{7CBEC374-7530-44AD-B8A3-E710E87A45D6}">
  <ds:schemaRefs/>
</ds:datastoreItem>
</file>

<file path=customXml/itemProps56.xml><?xml version="1.0" encoding="utf-8"?>
<ds:datastoreItem xmlns:ds="http://schemas.openxmlformats.org/officeDocument/2006/customXml" ds:itemID="{D6765089-9A56-4137-97E7-ED801D55CB20}">
  <ds:schemaRefs/>
</ds:datastoreItem>
</file>

<file path=customXml/itemProps57.xml><?xml version="1.0" encoding="utf-8"?>
<ds:datastoreItem xmlns:ds="http://schemas.openxmlformats.org/officeDocument/2006/customXml" ds:itemID="{4D94AB0C-E0AC-4503-A1B9-0A1AD3E61E52}">
  <ds:schemaRefs/>
</ds:datastoreItem>
</file>

<file path=customXml/itemProps58.xml><?xml version="1.0" encoding="utf-8"?>
<ds:datastoreItem xmlns:ds="http://schemas.openxmlformats.org/officeDocument/2006/customXml" ds:itemID="{D7E669D9-8AA4-4C5D-AFED-8D10BA0808B3}">
  <ds:schemaRefs/>
</ds:datastoreItem>
</file>

<file path=customXml/itemProps59.xml><?xml version="1.0" encoding="utf-8"?>
<ds:datastoreItem xmlns:ds="http://schemas.openxmlformats.org/officeDocument/2006/customXml" ds:itemID="{E955548E-AE94-4FC6-BED6-95EF6C70015B}">
  <ds:schemaRefs/>
</ds:datastoreItem>
</file>

<file path=customXml/itemProps60.xml><?xml version="1.0" encoding="utf-8"?>
<ds:datastoreItem xmlns:ds="http://schemas.openxmlformats.org/officeDocument/2006/customXml" ds:itemID="{084922E1-B6FF-4ED7-A086-EC28B1380CFD}">
  <ds:schemaRefs/>
</ds:datastoreItem>
</file>

<file path=customXml/itemProps61.xml><?xml version="1.0" encoding="utf-8"?>
<ds:datastoreItem xmlns:ds="http://schemas.openxmlformats.org/officeDocument/2006/customXml" ds:itemID="{92E2BAF4-ABFC-42BC-8E19-06E851D6B753}">
  <ds:schemaRefs/>
</ds:datastoreItem>
</file>

<file path=customXml/itemProps62.xml><?xml version="1.0" encoding="utf-8"?>
<ds:datastoreItem xmlns:ds="http://schemas.openxmlformats.org/officeDocument/2006/customXml" ds:itemID="{43ECBE60-65BF-444C-B8CD-75F0D85DC5B6}">
  <ds:schemaRefs/>
</ds:datastoreItem>
</file>

<file path=customXml/itemProps63.xml><?xml version="1.0" encoding="utf-8"?>
<ds:datastoreItem xmlns:ds="http://schemas.openxmlformats.org/officeDocument/2006/customXml" ds:itemID="{04E4B1EB-C2BC-498A-A512-09177718F85C}">
  <ds:schemaRefs/>
</ds:datastoreItem>
</file>

<file path=customXml/itemProps64.xml><?xml version="1.0" encoding="utf-8"?>
<ds:datastoreItem xmlns:ds="http://schemas.openxmlformats.org/officeDocument/2006/customXml" ds:itemID="{BA391A80-99D9-4A47-8F96-5B033536EC72}">
  <ds:schemaRefs/>
</ds:datastoreItem>
</file>

<file path=customXml/itemProps65.xml><?xml version="1.0" encoding="utf-8"?>
<ds:datastoreItem xmlns:ds="http://schemas.openxmlformats.org/officeDocument/2006/customXml" ds:itemID="{65654684-D571-4A36-AB02-7E5F4DABA7FA}">
  <ds:schemaRefs/>
</ds:datastoreItem>
</file>

<file path=customXml/itemProps66.xml><?xml version="1.0" encoding="utf-8"?>
<ds:datastoreItem xmlns:ds="http://schemas.openxmlformats.org/officeDocument/2006/customXml" ds:itemID="{A45C1BAA-FBB1-4CEE-A510-69C9846F7DA6}">
  <ds:schemaRefs/>
</ds:datastoreItem>
</file>

<file path=customXml/itemProps67.xml><?xml version="1.0" encoding="utf-8"?>
<ds:datastoreItem xmlns:ds="http://schemas.openxmlformats.org/officeDocument/2006/customXml" ds:itemID="{40C8AE59-A3F3-4D92-943C-674F2F334C97}">
  <ds:schemaRefs/>
</ds:datastoreItem>
</file>

<file path=customXml/itemProps68.xml><?xml version="1.0" encoding="utf-8"?>
<ds:datastoreItem xmlns:ds="http://schemas.openxmlformats.org/officeDocument/2006/customXml" ds:itemID="{10917E99-77C3-46EE-9DE2-1B10F4A560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35</vt:i4>
      </vt:variant>
    </vt:vector>
  </HeadingPairs>
  <TitlesOfParts>
    <vt:vector size="44" baseType="lpstr">
      <vt:lpstr>Table</vt:lpstr>
      <vt:lpstr>Sheet</vt:lpstr>
      <vt:lpstr>Sheet3</vt:lpstr>
      <vt:lpstr>Sheet1</vt:lpstr>
      <vt:lpstr>Dashboard1</vt:lpstr>
      <vt:lpstr>Dashboard 2</vt:lpstr>
      <vt:lpstr>Dashboard 3</vt:lpstr>
      <vt:lpstr>Dashboard 4</vt:lpstr>
      <vt:lpstr>Dashboard 5</vt:lpstr>
      <vt:lpstr>averageage</vt:lpstr>
      <vt:lpstr>AvgAge</vt:lpstr>
      <vt:lpstr>Avgamount1</vt:lpstr>
      <vt:lpstr>avgcreditscore</vt:lpstr>
      <vt:lpstr>AvgIncome</vt:lpstr>
      <vt:lpstr>AvgresTime</vt:lpstr>
      <vt:lpstr>AvgTenure</vt:lpstr>
      <vt:lpstr>complains</vt:lpstr>
      <vt:lpstr>count</vt:lpstr>
      <vt:lpstr>Customer</vt:lpstr>
      <vt:lpstr>CWMA</vt:lpstr>
      <vt:lpstr>dkuh</vt:lpstr>
      <vt:lpstr>Income</vt:lpstr>
      <vt:lpstr>lll</vt:lpstr>
      <vt:lpstr>loyal</vt:lpstr>
      <vt:lpstr>mult.acc</vt:lpstr>
      <vt:lpstr>OPeracost</vt:lpstr>
      <vt:lpstr>paypercent</vt:lpstr>
      <vt:lpstr>percentdepo</vt:lpstr>
      <vt:lpstr>premiumc</vt:lpstr>
      <vt:lpstr>profit</vt:lpstr>
      <vt:lpstr>resolutionrate</vt:lpstr>
      <vt:lpstr>resolved</vt:lpstr>
      <vt:lpstr>Savings</vt:lpstr>
      <vt:lpstr>south</vt:lpstr>
      <vt:lpstr>tcomplains</vt:lpstr>
      <vt:lpstr>TFC</vt:lpstr>
      <vt:lpstr>TotalAccount</vt:lpstr>
      <vt:lpstr>Totalamount1</vt:lpstr>
      <vt:lpstr>Totalapprovedloan</vt:lpstr>
      <vt:lpstr>TotalDeposit</vt:lpstr>
      <vt:lpstr>Totalrevenue</vt:lpstr>
      <vt:lpstr>TotalTransactions</vt:lpstr>
      <vt:lpstr>trans</vt:lpstr>
      <vt:lpstr>withd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 Adeyemo</dc:creator>
  <cp:lastModifiedBy>Tobi Adeyemo</cp:lastModifiedBy>
  <cp:lastPrinted>2025-11-10T05:35:56Z</cp:lastPrinted>
  <dcterms:created xsi:type="dcterms:W3CDTF">2025-09-21T16:47:05Z</dcterms:created>
  <dcterms:modified xsi:type="dcterms:W3CDTF">2026-04-23T10:36:48Z</dcterms:modified>
</cp:coreProperties>
</file>