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Google Drev/UNI/Master-Thesis-Fall-2020/Results_hpc/"/>
    </mc:Choice>
  </mc:AlternateContent>
  <xr:revisionPtr revIDLastSave="0" documentId="8_{8290D32C-874F-4B40-B704-7D20C65145B4}" xr6:coauthVersionLast="46" xr6:coauthVersionMax="46" xr10:uidLastSave="{00000000-0000-0000-0000-000000000000}"/>
  <bookViews>
    <workbookView xWindow="0" yWindow="0" windowWidth="28800" windowHeight="18000" activeTab="1" xr2:uid="{FE24E96F-0EF1-D048-8288-570EAEC72423}"/>
  </bookViews>
  <sheets>
    <sheet name="input_MNIST" sheetId="1" r:id="rId1"/>
    <sheet name="results_MNIST" sheetId="2" r:id="rId2"/>
    <sheet name="results_THETI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2" l="1"/>
  <c r="D44" i="2"/>
  <c r="D43" i="2"/>
  <c r="D37" i="2"/>
  <c r="D33" i="2"/>
  <c r="D29" i="2"/>
  <c r="D25" i="2"/>
  <c r="L29" i="2"/>
  <c r="L26" i="2"/>
  <c r="L27" i="2"/>
  <c r="L28" i="2"/>
  <c r="I27" i="2"/>
  <c r="J27" i="2"/>
  <c r="K27" i="2"/>
  <c r="I28" i="2"/>
  <c r="J28" i="2"/>
  <c r="K28" i="2"/>
  <c r="I29" i="2"/>
  <c r="J29" i="2"/>
  <c r="K29" i="2"/>
  <c r="I30" i="2"/>
  <c r="J30" i="2"/>
  <c r="K30" i="2"/>
  <c r="J26" i="2"/>
  <c r="K26" i="2"/>
  <c r="I26" i="2"/>
  <c r="W35" i="2"/>
  <c r="D34" i="2" s="1"/>
  <c r="X35" i="2"/>
  <c r="D38" i="2" s="1"/>
  <c r="Y34" i="2"/>
  <c r="Y35" i="2" s="1"/>
  <c r="D42" i="2" s="1"/>
  <c r="V34" i="2"/>
  <c r="V35" i="2" s="1"/>
  <c r="D30" i="2" s="1"/>
  <c r="W34" i="2"/>
  <c r="X34" i="2"/>
  <c r="U34" i="2"/>
  <c r="U35" i="2" s="1"/>
  <c r="D26" i="2" s="1"/>
  <c r="AA42" i="2"/>
  <c r="X32" i="2" s="1"/>
  <c r="X40" i="2"/>
  <c r="AA40" i="2" s="1"/>
  <c r="V32" i="2" s="1"/>
  <c r="D28" i="2" s="1"/>
  <c r="Y40" i="2"/>
  <c r="Z40" i="2"/>
  <c r="X41" i="2"/>
  <c r="Y41" i="2"/>
  <c r="AA41" i="2" s="1"/>
  <c r="W32" i="2" s="1"/>
  <c r="Z41" i="2"/>
  <c r="X42" i="2"/>
  <c r="Y42" i="2"/>
  <c r="Z42" i="2"/>
  <c r="X43" i="2"/>
  <c r="AA43" i="2" s="1"/>
  <c r="Y32" i="2" s="1"/>
  <c r="D40" i="2" s="1"/>
  <c r="Y43" i="2"/>
  <c r="Z43" i="2"/>
  <c r="Y39" i="2"/>
  <c r="Z39" i="2"/>
  <c r="X39" i="2"/>
  <c r="AA39" i="2" s="1"/>
  <c r="U32" i="2" s="1"/>
  <c r="D24" i="2" s="1"/>
  <c r="V31" i="2"/>
  <c r="W31" i="2"/>
  <c r="D32" i="2" s="1"/>
  <c r="X31" i="2"/>
  <c r="Y31" i="2"/>
  <c r="U31" i="2"/>
  <c r="D35" i="2"/>
  <c r="V26" i="2"/>
  <c r="W26" i="2"/>
  <c r="X26" i="2"/>
  <c r="Y26" i="2"/>
  <c r="U26" i="2"/>
  <c r="D23" i="2" s="1"/>
  <c r="V24" i="2"/>
  <c r="D27" i="2" s="1"/>
  <c r="W24" i="2"/>
  <c r="D31" i="2" s="1"/>
  <c r="X24" i="2"/>
  <c r="Y24" i="2"/>
  <c r="D39" i="2" s="1"/>
  <c r="U24" i="2"/>
  <c r="F79" i="2"/>
  <c r="G79" i="2" s="1"/>
  <c r="C42" i="2" s="1"/>
  <c r="Q63" i="2"/>
  <c r="I69" i="2"/>
  <c r="J69" i="2"/>
  <c r="K69" i="2"/>
  <c r="L69" i="2" s="1"/>
  <c r="C29" i="2" s="1"/>
  <c r="I70" i="2"/>
  <c r="L70" i="2" s="1"/>
  <c r="C33" i="2" s="1"/>
  <c r="J70" i="2"/>
  <c r="K70" i="2"/>
  <c r="I71" i="2"/>
  <c r="L71" i="2" s="1"/>
  <c r="C37" i="2" s="1"/>
  <c r="J71" i="2"/>
  <c r="K71" i="2"/>
  <c r="I72" i="2"/>
  <c r="L72" i="2" s="1"/>
  <c r="J72" i="2"/>
  <c r="K72" i="2"/>
  <c r="J68" i="2"/>
  <c r="K68" i="2"/>
  <c r="I68" i="2"/>
  <c r="L68" i="2" s="1"/>
  <c r="C25" i="2" s="1"/>
  <c r="AF32" i="2"/>
  <c r="AI32" i="2" s="1"/>
  <c r="AJ32" i="2" s="1"/>
  <c r="AG32" i="2"/>
  <c r="AH32" i="2"/>
  <c r="AF33" i="2"/>
  <c r="AG33" i="2"/>
  <c r="AH33" i="2"/>
  <c r="AF34" i="2"/>
  <c r="AG34" i="2"/>
  <c r="AH34" i="2"/>
  <c r="AF35" i="2"/>
  <c r="AI35" i="2" s="1"/>
  <c r="AJ35" i="2" s="1"/>
  <c r="C40" i="2" s="1"/>
  <c r="AG35" i="2"/>
  <c r="AH35" i="2"/>
  <c r="AG31" i="2"/>
  <c r="AH31" i="2"/>
  <c r="AF31" i="2"/>
  <c r="G63" i="2"/>
  <c r="H63" i="2"/>
  <c r="I63" i="2"/>
  <c r="J63" i="2"/>
  <c r="F63" i="2"/>
  <c r="F75" i="2" s="1"/>
  <c r="G75" i="2" s="1"/>
  <c r="C26" i="2" s="1"/>
  <c r="N65" i="2"/>
  <c r="O65" i="2"/>
  <c r="P65" i="2"/>
  <c r="Q65" i="2"/>
  <c r="M65" i="2"/>
  <c r="N63" i="2"/>
  <c r="C27" i="2" s="1"/>
  <c r="O63" i="2"/>
  <c r="F77" i="2" s="1"/>
  <c r="G77" i="2" s="1"/>
  <c r="C34" i="2" s="1"/>
  <c r="P63" i="2"/>
  <c r="C35" i="2" s="1"/>
  <c r="M63" i="2"/>
  <c r="C23" i="2" s="1"/>
  <c r="F12" i="2"/>
  <c r="J4" i="2"/>
  <c r="F6" i="2" s="1"/>
  <c r="L4" i="2"/>
  <c r="I4" i="2"/>
  <c r="F3" i="2" s="1"/>
  <c r="J3" i="2"/>
  <c r="K3" i="2"/>
  <c r="K4" i="2" s="1"/>
  <c r="L3" i="2"/>
  <c r="M3" i="2"/>
  <c r="M4" i="2" s="1"/>
  <c r="F15" i="2" s="1"/>
  <c r="I3" i="2"/>
  <c r="F18" i="2" s="1"/>
  <c r="M10" i="2"/>
  <c r="M9" i="2"/>
  <c r="M8" i="2"/>
  <c r="M7" i="2"/>
  <c r="AE4" i="2"/>
  <c r="AE5" i="2"/>
  <c r="AE6" i="2"/>
  <c r="F5" i="2" s="1"/>
  <c r="H5" i="2" s="1"/>
  <c r="G5" i="2" s="1"/>
  <c r="F7" i="2" s="1"/>
  <c r="AE7" i="2"/>
  <c r="AE8" i="2"/>
  <c r="AE9" i="2"/>
  <c r="F8" i="2" s="1"/>
  <c r="AE10" i="2"/>
  <c r="AE11" i="2"/>
  <c r="AE12" i="2"/>
  <c r="F11" i="2" s="1"/>
  <c r="H7" i="2" s="1"/>
  <c r="G7" i="2" s="1"/>
  <c r="F13" i="2" s="1"/>
  <c r="AE13" i="2"/>
  <c r="AE14" i="2"/>
  <c r="AE15" i="2"/>
  <c r="F14" i="2" s="1"/>
  <c r="AE3" i="2"/>
  <c r="F2" i="2" s="1"/>
  <c r="E18" i="2"/>
  <c r="E17" i="2"/>
  <c r="AG5" i="2"/>
  <c r="E7" i="2" s="1"/>
  <c r="AH7" i="2" s="1"/>
  <c r="AG7" i="2" s="1"/>
  <c r="AG11" i="2"/>
  <c r="E13" i="2" s="1"/>
  <c r="AG2" i="2"/>
  <c r="E4" i="2" s="1"/>
  <c r="AH5" i="2"/>
  <c r="AH8" i="2"/>
  <c r="AG8" i="2" s="1"/>
  <c r="E10" i="2" s="1"/>
  <c r="AH9" i="2" s="1"/>
  <c r="AH11" i="2"/>
  <c r="AH14" i="2"/>
  <c r="AG14" i="2" s="1"/>
  <c r="E16" i="2" s="1"/>
  <c r="AH2" i="2"/>
  <c r="D38" i="3"/>
  <c r="D34" i="3"/>
  <c r="D30" i="3"/>
  <c r="D26" i="3"/>
  <c r="I55" i="3"/>
  <c r="I54" i="3"/>
  <c r="I52" i="3"/>
  <c r="I53" i="3"/>
  <c r="I51" i="3"/>
  <c r="G51" i="3"/>
  <c r="H51" i="3"/>
  <c r="G52" i="3"/>
  <c r="H52" i="3"/>
  <c r="G53" i="3"/>
  <c r="H53" i="3"/>
  <c r="G54" i="3"/>
  <c r="H54" i="3"/>
  <c r="G55" i="3"/>
  <c r="H55" i="3"/>
  <c r="F52" i="3"/>
  <c r="F53" i="3"/>
  <c r="F54" i="3"/>
  <c r="F55" i="3"/>
  <c r="F51" i="3"/>
  <c r="G35" i="3"/>
  <c r="H35" i="3"/>
  <c r="I35" i="3"/>
  <c r="J35" i="3"/>
  <c r="F35" i="3"/>
  <c r="L75" i="3"/>
  <c r="I34" i="3" s="1"/>
  <c r="I36" i="3" s="1"/>
  <c r="I37" i="3" s="1"/>
  <c r="D37" i="3" s="1"/>
  <c r="I73" i="3"/>
  <c r="L73" i="3" s="1"/>
  <c r="G34" i="3" s="1"/>
  <c r="G36" i="3" s="1"/>
  <c r="G37" i="3" s="1"/>
  <c r="D29" i="3" s="1"/>
  <c r="J73" i="3"/>
  <c r="K73" i="3"/>
  <c r="I74" i="3"/>
  <c r="J74" i="3"/>
  <c r="L74" i="3" s="1"/>
  <c r="H34" i="3" s="1"/>
  <c r="H36" i="3" s="1"/>
  <c r="H37" i="3" s="1"/>
  <c r="D33" i="3" s="1"/>
  <c r="K74" i="3"/>
  <c r="I75" i="3"/>
  <c r="J75" i="3"/>
  <c r="K75" i="3"/>
  <c r="I76" i="3"/>
  <c r="L76" i="3" s="1"/>
  <c r="J34" i="3" s="1"/>
  <c r="J36" i="3" s="1"/>
  <c r="J37" i="3" s="1"/>
  <c r="D41" i="3" s="1"/>
  <c r="J76" i="3"/>
  <c r="K76" i="3"/>
  <c r="J72" i="3"/>
  <c r="K72" i="3"/>
  <c r="I72" i="3"/>
  <c r="L72" i="3" s="1"/>
  <c r="F34" i="3" s="1"/>
  <c r="F36" i="3" s="1"/>
  <c r="F37" i="3" s="1"/>
  <c r="D25" i="3" s="1"/>
  <c r="D40" i="3"/>
  <c r="D36" i="3"/>
  <c r="D32" i="3"/>
  <c r="D28" i="3"/>
  <c r="D24" i="3"/>
  <c r="G28" i="3"/>
  <c r="H28" i="3"/>
  <c r="I28" i="3"/>
  <c r="J28" i="3"/>
  <c r="F28" i="3"/>
  <c r="G26" i="3"/>
  <c r="H26" i="3"/>
  <c r="I26" i="3"/>
  <c r="J26" i="3"/>
  <c r="G27" i="3"/>
  <c r="H27" i="3"/>
  <c r="I27" i="3"/>
  <c r="J27" i="3"/>
  <c r="F27" i="3"/>
  <c r="F26" i="3"/>
  <c r="N45" i="3"/>
  <c r="O45" i="3"/>
  <c r="N46" i="3"/>
  <c r="O46" i="3"/>
  <c r="N47" i="3"/>
  <c r="O47" i="3"/>
  <c r="N48" i="3"/>
  <c r="M46" i="3"/>
  <c r="P46" i="3" s="1"/>
  <c r="C30" i="3" s="1"/>
  <c r="M47" i="3"/>
  <c r="M48" i="3"/>
  <c r="M49" i="3"/>
  <c r="M45" i="3"/>
  <c r="W34" i="3"/>
  <c r="X34" i="3"/>
  <c r="Y34" i="3"/>
  <c r="Z34" i="3"/>
  <c r="V34" i="3"/>
  <c r="M66" i="3"/>
  <c r="N62" i="3"/>
  <c r="O62" i="3"/>
  <c r="N63" i="3"/>
  <c r="O63" i="3"/>
  <c r="N64" i="3"/>
  <c r="O64" i="3"/>
  <c r="N65" i="3"/>
  <c r="O65" i="3"/>
  <c r="N66" i="3"/>
  <c r="O66" i="3"/>
  <c r="M63" i="3"/>
  <c r="M64" i="3"/>
  <c r="M65" i="3"/>
  <c r="M62" i="3"/>
  <c r="W27" i="3"/>
  <c r="X27" i="3"/>
  <c r="Y27" i="3"/>
  <c r="Z27" i="3"/>
  <c r="W28" i="3"/>
  <c r="X28" i="3"/>
  <c r="Y28" i="3"/>
  <c r="Z28" i="3"/>
  <c r="V28" i="3"/>
  <c r="V27" i="3"/>
  <c r="M15" i="3"/>
  <c r="H12" i="3" s="1"/>
  <c r="F12" i="3" s="1"/>
  <c r="M12" i="3"/>
  <c r="H9" i="3" s="1"/>
  <c r="F9" i="3" s="1"/>
  <c r="K8" i="3"/>
  <c r="K9" i="3" s="1"/>
  <c r="L8" i="3"/>
  <c r="L9" i="3" s="1"/>
  <c r="J8" i="3"/>
  <c r="J9" i="3" s="1"/>
  <c r="K4" i="3"/>
  <c r="K5" i="3" s="1"/>
  <c r="L4" i="3"/>
  <c r="L5" i="3" s="1"/>
  <c r="J4" i="3"/>
  <c r="J5" i="3" s="1"/>
  <c r="E9" i="3"/>
  <c r="E6" i="3"/>
  <c r="E11" i="3"/>
  <c r="E8" i="3"/>
  <c r="C26" i="1"/>
  <c r="B26" i="1"/>
  <c r="C24" i="1"/>
  <c r="B24" i="1"/>
  <c r="C22" i="1"/>
  <c r="B22" i="1"/>
  <c r="C15" i="1"/>
  <c r="B15" i="1"/>
  <c r="C14" i="1"/>
  <c r="B14" i="1"/>
  <c r="C13" i="1"/>
  <c r="B13" i="1"/>
  <c r="C11" i="1"/>
  <c r="B11" i="1"/>
  <c r="C9" i="1"/>
  <c r="B9" i="1"/>
  <c r="C7" i="1"/>
  <c r="B7" i="1"/>
  <c r="C5" i="1"/>
  <c r="B5" i="1"/>
  <c r="D36" i="2" l="1"/>
  <c r="F76" i="2"/>
  <c r="G76" i="2" s="1"/>
  <c r="C30" i="2" s="1"/>
  <c r="F78" i="2"/>
  <c r="G78" i="2" s="1"/>
  <c r="C38" i="2" s="1"/>
  <c r="C28" i="2"/>
  <c r="C39" i="2"/>
  <c r="AI33" i="2"/>
  <c r="AJ33" i="2" s="1"/>
  <c r="C32" i="2" s="1"/>
  <c r="AI31" i="2"/>
  <c r="AJ31" i="2" s="1"/>
  <c r="C24" i="2" s="1"/>
  <c r="AI34" i="2"/>
  <c r="AJ34" i="2" s="1"/>
  <c r="C36" i="2" s="1"/>
  <c r="F17" i="2"/>
  <c r="F9" i="2"/>
  <c r="H6" i="2"/>
  <c r="G6" i="2" s="1"/>
  <c r="F10" i="2" s="1"/>
  <c r="H4" i="2"/>
  <c r="G4" i="2" s="1"/>
  <c r="F4" i="2" s="1"/>
  <c r="C31" i="2"/>
  <c r="AH16" i="2"/>
  <c r="AG16" i="2" s="1"/>
  <c r="AH12" i="2"/>
  <c r="AG12" i="2" s="1"/>
  <c r="AH13" i="2"/>
  <c r="AG13" i="2" s="1"/>
  <c r="AH6" i="2"/>
  <c r="AH15" i="2"/>
  <c r="AG15" i="2" s="1"/>
  <c r="AG9" i="2"/>
  <c r="AH10" i="2"/>
  <c r="AG10" i="2" s="1"/>
  <c r="AG6" i="2"/>
  <c r="AH3" i="2"/>
  <c r="AH4" i="2"/>
  <c r="AG4" i="2" s="1"/>
  <c r="AB35" i="3"/>
  <c r="AC35" i="3" s="1"/>
  <c r="Y35" i="3" s="1"/>
  <c r="C37" i="3" s="1"/>
  <c r="E17" i="3"/>
  <c r="Z30" i="3"/>
  <c r="C40" i="3" s="1"/>
  <c r="AB36" i="3"/>
  <c r="AC36" i="3" s="1"/>
  <c r="Z35" i="3" s="1"/>
  <c r="C41" i="3" s="1"/>
  <c r="AB32" i="3"/>
  <c r="AC32" i="3" s="1"/>
  <c r="V35" i="3" s="1"/>
  <c r="C25" i="3" s="1"/>
  <c r="W30" i="3"/>
  <c r="C28" i="3" s="1"/>
  <c r="X30" i="3"/>
  <c r="C32" i="3" s="1"/>
  <c r="M9" i="3"/>
  <c r="H6" i="3" s="1"/>
  <c r="F6" i="3" s="1"/>
  <c r="M5" i="3"/>
  <c r="H3" i="3" s="1"/>
  <c r="F3" i="3" s="1"/>
  <c r="AB33" i="3"/>
  <c r="AC33" i="3" s="1"/>
  <c r="W35" i="3" s="1"/>
  <c r="C29" i="3" s="1"/>
  <c r="P47" i="3"/>
  <c r="C34" i="3" s="1"/>
  <c r="AB34" i="3"/>
  <c r="AC34" i="3" s="1"/>
  <c r="X35" i="3" s="1"/>
  <c r="C33" i="3" s="1"/>
  <c r="P48" i="3"/>
  <c r="C38" i="3" s="1"/>
  <c r="Y30" i="3"/>
  <c r="C36" i="3" s="1"/>
  <c r="P45" i="3"/>
  <c r="C26" i="3" s="1"/>
  <c r="V30" i="3"/>
  <c r="C24" i="3" s="1"/>
  <c r="C27" i="1"/>
  <c r="C25" i="1"/>
  <c r="C23" i="1"/>
  <c r="C21" i="1"/>
  <c r="C19" i="1"/>
  <c r="C17" i="1"/>
  <c r="C3" i="1"/>
  <c r="B3" i="1"/>
  <c r="B27" i="1"/>
  <c r="B25" i="1"/>
  <c r="B23" i="1"/>
  <c r="B21" i="1"/>
  <c r="B19" i="1"/>
  <c r="B17" i="1"/>
  <c r="AG3" i="2" l="1"/>
</calcChain>
</file>

<file path=xl/sharedStrings.xml><?xml version="1.0" encoding="utf-8"?>
<sst xmlns="http://schemas.openxmlformats.org/spreadsheetml/2006/main" count="218" uniqueCount="102">
  <si>
    <t>Rank</t>
  </si>
  <si>
    <t>FLOPs</t>
  </si>
  <si>
    <t>Time CPU</t>
  </si>
  <si>
    <t>ratio</t>
  </si>
  <si>
    <t>Time CPU
(ms)</t>
  </si>
  <si>
    <t>Time GPU</t>
  </si>
  <si>
    <t>Time GPU
(ms)</t>
  </si>
  <si>
    <t>Accuracy
(%)</t>
  </si>
  <si>
    <t>Original</t>
  </si>
  <si>
    <t>Parameters
(K)</t>
  </si>
  <si>
    <t>FLOPs
(K)</t>
  </si>
  <si>
    <t>$1.481 \pm 0.025$ 
$(= 0.904 + 0.647 )$</t>
  </si>
  <si>
    <t>$2.445 \pm 0.039$
 $(= 1.885 + 0.551 )$</t>
  </si>
  <si>
    <t>$3.114 \pm 0.047$ 
$(= 2.525 + 0.565 )$</t>
  </si>
  <si>
    <t>$1.660 \pm 0.033$
 $(= 0.968 + 0.681 )$</t>
  </si>
  <si>
    <t>$1.906 \pm 0.035$ 
$(= 1.372 + 0.527 )$</t>
  </si>
  <si>
    <t>$1.965 \pm 0.031$
 $(= 1.354 + 0.598 )$</t>
  </si>
  <si>
    <t xml:space="preserve"> $1.943 \pm 0.031$ 
$(= 1.407 + 0.527 )$</t>
  </si>
  <si>
    <t>$2.397 \pm 0.035$ 
$(= 1.785 + 0.599 )$</t>
  </si>
  <si>
    <t xml:space="preserve"> $2.298 \pm 0.039$ 
$(= 1.756 + 0.528 )$</t>
  </si>
  <si>
    <t>$3.005 \pm 0.043$
 $(= 2.242 + 0.752 )$</t>
  </si>
  <si>
    <t>$3.661 \pm 0.047$
 $(= 3.042 + 0.581 )$</t>
  </si>
  <si>
    <t>$4.796 \pm 0.067$ 
$(= 3.897 + 0.823 )$</t>
  </si>
  <si>
    <t>$6.664 \pm 0.086$
 $(= 5.655 + 0.849 )$</t>
  </si>
  <si>
    <t xml:space="preserve">$1.700 \pm 0.052 $  </t>
  </si>
  <si>
    <t>$0.141 \pm 0.011$
 $(= 0.013 + 0.113 )$</t>
  </si>
  <si>
    <t xml:space="preserve"> $0.142 \pm 0.011$
 $(= 0.014 + 0.113 )$</t>
  </si>
  <si>
    <t>$0.141 \pm 0.011$
 $(= 0.014 + 0.113 )$</t>
  </si>
  <si>
    <t>$0.142 \pm 0.011$
 $(= 0.015 + 0.115 )$</t>
  </si>
  <si>
    <t>$0.144 \pm 0.011$ 
$(= 0.024 + 0.116 )$</t>
  </si>
  <si>
    <t>$0.146 \pm 0.013$
 $(= 0.025 + 0.114 )$</t>
  </si>
  <si>
    <t>$0.144 \pm 0.010$ 
$(= 0.022 + 0.115 )$</t>
  </si>
  <si>
    <t>$0.144 \pm 0.011$ 
$(= 0.027 + 0.114 )$</t>
  </si>
  <si>
    <t xml:space="preserve"> $0.145 \pm 0.012$
 $(= 0.034 + 0.115 )$</t>
  </si>
  <si>
    <t>$0.129 \pm   0.013$</t>
  </si>
  <si>
    <t>$0.149 \pm 0.012$
$(= 0.014 + 0.118 )$</t>
  </si>
  <si>
    <t>$0.144 \pm 0.011$ 
$(= 0.013 + 0.115 )$</t>
  </si>
  <si>
    <t xml:space="preserve"> $0.142 \pm 0.010$
 $(= 0.013 + 0.113 )$</t>
  </si>
  <si>
    <t>Layer</t>
  </si>
  <si>
    <t>Conv 1</t>
  </si>
  <si>
    <t>Conv 2</t>
  </si>
  <si>
    <t>Lin 1</t>
  </si>
  <si>
    <t>Lin 2</t>
  </si>
  <si>
    <t>$ S / R_{in}$</t>
  </si>
  <si>
    <t>-</t>
  </si>
  <si>
    <t>Total</t>
  </si>
  <si>
    <t>$\times 5.96 $</t>
  </si>
  <si>
    <t>$\times 15.7$</t>
  </si>
  <si>
    <t>$\times 50.84 $</t>
  </si>
  <si>
    <t>$ \times 1.00 $</t>
  </si>
  <si>
    <t>$\times 6.12 $</t>
  </si>
  <si>
    <t>$\times 5.94 $</t>
  </si>
  <si>
    <t>$\times 15.54 $</t>
  </si>
  <si>
    <t>$\times 117.28 $</t>
  </si>
  <si>
    <t>$\times 1.00$</t>
  </si>
  <si>
    <t>$\times 36.12 $</t>
  </si>
  <si>
    <t>15609.2M</t>
  </si>
  <si>
    <t>696.9M</t>
  </si>
  <si>
    <t>716.8K</t>
  </si>
  <si>
    <t>21.5K</t>
  </si>
  <si>
    <t>16306.8M</t>
  </si>
  <si>
    <t>2663.1M</t>
  </si>
  <si>
    <t>L_3</t>
  </si>
  <si>
    <t>$ T /R_{out}$</t>
  </si>
  <si>
    <t>Weights</t>
  </si>
  <si>
    <t>Orig</t>
  </si>
  <si>
    <t>Comp</t>
  </si>
  <si>
    <t>Impr</t>
  </si>
  <si>
    <t>Weights (K)</t>
  </si>
  <si>
    <t>$ \times 33.13$</t>
  </si>
  <si>
    <t>$\times 122.4 $</t>
  </si>
  <si>
    <t xml:space="preserve">2618.6M </t>
  </si>
  <si>
    <t xml:space="preserve">44.4M </t>
  </si>
  <si>
    <t>$3594.520 \pm 21.607$</t>
  </si>
  <si>
    <t>$ 2682.271 \pm 13.760$</t>
  </si>
  <si>
    <t>$\times 1.33 $</t>
  </si>
  <si>
    <t>$ \times 1.98 $</t>
  </si>
  <si>
    <t>$\times 2.07 $</t>
  </si>
  <si>
    <t>$\times 1.24 $</t>
  </si>
  <si>
    <t>$\times 1.03 $</t>
  </si>
  <si>
    <t>$\times 1.34 $</t>
  </si>
  <si>
    <t>dcmp</t>
  </si>
  <si>
    <t>$\times 7.90 $</t>
  </si>
  <si>
    <t>$\times 0.002 $</t>
  </si>
  <si>
    <t>$\times 0.08$</t>
  </si>
  <si>
    <t>$\times 839.61 $</t>
  </si>
  <si>
    <t>$\times 10.9 $</t>
  </si>
  <si>
    <t>$113.000 \pm 0.263$</t>
  </si>
  <si>
    <t>$ 58.478 \pm 0.176 $</t>
  </si>
  <si>
    <t>$\times 1.93$</t>
  </si>
  <si>
    <t>$ \times 4.62 $</t>
  </si>
  <si>
    <t>FLOPs (K)</t>
  </si>
  <si>
    <t>$ \times 1.00$</t>
  </si>
  <si>
    <t>MNIST Layer</t>
  </si>
  <si>
    <t>$\times 3.45 $</t>
  </si>
  <si>
    <t>mean</t>
  </si>
  <si>
    <t>sd</t>
  </si>
  <si>
    <t>$ 9.896 \pm 1.380 $</t>
  </si>
  <si>
    <t>$ 17.065 \pm 0.365$</t>
  </si>
  <si>
    <t>$ \times 0.58$</t>
  </si>
  <si>
    <t>orig</t>
  </si>
  <si>
    <t>$ \times 0.57 $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</si>
</sst>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4" fontId="0" fillId="0" borderId="0" xfId="0" applyNumberFormat="1"/>
    <xf numFmtId="2" fontId="0" fillId="0" borderId="2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" fontId="1" fillId="0" borderId="5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6390-EE4C-F945-A10D-62738E4CBAFF}">
  <dimension ref="A1:F29"/>
  <sheetViews>
    <sheetView topLeftCell="A16" zoomScale="140" zoomScaleNormal="140" workbookViewId="0">
      <selection activeCell="G20" sqref="G20"/>
    </sheetView>
  </sheetViews>
  <sheetFormatPr baseColWidth="10" defaultRowHeight="16" x14ac:dyDescent="0.2"/>
  <cols>
    <col min="3" max="3" width="12.1640625" bestFit="1" customWidth="1"/>
    <col min="4" max="4" width="19.6640625" customWidth="1"/>
    <col min="5" max="5" width="19" customWidth="1"/>
  </cols>
  <sheetData>
    <row r="1" spans="1:6" ht="34" x14ac:dyDescent="0.2">
      <c r="A1" s="3" t="s">
        <v>0</v>
      </c>
      <c r="B1" s="14" t="s">
        <v>9</v>
      </c>
      <c r="C1" s="4" t="s">
        <v>10</v>
      </c>
      <c r="D1" s="4" t="s">
        <v>4</v>
      </c>
      <c r="E1" s="4" t="s">
        <v>6</v>
      </c>
      <c r="F1" s="14" t="s">
        <v>7</v>
      </c>
    </row>
    <row r="2" spans="1:6" ht="37" customHeight="1" x14ac:dyDescent="0.2">
      <c r="A2" s="6">
        <v>2</v>
      </c>
      <c r="B2" s="17">
        <v>1.83</v>
      </c>
      <c r="C2" s="19">
        <v>3.5840000000000001</v>
      </c>
      <c r="D2" s="26" t="s">
        <v>11</v>
      </c>
      <c r="E2" s="26" t="s">
        <v>35</v>
      </c>
      <c r="F2" s="29">
        <v>33.61</v>
      </c>
    </row>
    <row r="3" spans="1:6" x14ac:dyDescent="0.2">
      <c r="A3" s="8" t="s">
        <v>3</v>
      </c>
      <c r="B3" s="20">
        <f>B2/B28</f>
        <v>0.10968592663629825</v>
      </c>
      <c r="C3" s="20">
        <f>C2/C28</f>
        <v>0.11295304128584935</v>
      </c>
      <c r="D3" s="32">
        <v>0.87117647099999995</v>
      </c>
      <c r="E3" s="32">
        <v>1.1550387600000001</v>
      </c>
      <c r="F3" s="31">
        <v>0.355887336</v>
      </c>
    </row>
    <row r="4" spans="1:6" ht="34" x14ac:dyDescent="0.2">
      <c r="A4" s="7">
        <v>5</v>
      </c>
      <c r="B4" s="21">
        <v>4.2450000000000001</v>
      </c>
      <c r="C4" s="22">
        <v>8.4049999999999994</v>
      </c>
      <c r="D4" s="27" t="s">
        <v>12</v>
      </c>
      <c r="E4" s="27" t="s">
        <v>36</v>
      </c>
      <c r="F4" s="29">
        <v>52.2</v>
      </c>
    </row>
    <row r="5" spans="1:6" x14ac:dyDescent="0.2">
      <c r="A5" s="8" t="s">
        <v>3</v>
      </c>
      <c r="B5" s="20">
        <f>B4/B28</f>
        <v>0.25443538719731479</v>
      </c>
      <c r="C5" s="20">
        <f>C4/C28</f>
        <v>0.26489127009139612</v>
      </c>
      <c r="D5" s="32">
        <v>1.4382352940000001</v>
      </c>
      <c r="E5" s="32">
        <v>1.11627907</v>
      </c>
      <c r="F5" s="31">
        <v>0.55273189300000003</v>
      </c>
    </row>
    <row r="6" spans="1:6" ht="34" x14ac:dyDescent="0.2">
      <c r="A6" s="7">
        <v>7</v>
      </c>
      <c r="B6" s="21">
        <v>5.8550000000000004</v>
      </c>
      <c r="C6" s="22">
        <v>11.619</v>
      </c>
      <c r="D6" s="27" t="s">
        <v>13</v>
      </c>
      <c r="E6" s="27" t="s">
        <v>37</v>
      </c>
      <c r="F6" s="29">
        <v>61.71</v>
      </c>
    </row>
    <row r="7" spans="1:6" x14ac:dyDescent="0.2">
      <c r="A7" s="8" t="s">
        <v>3</v>
      </c>
      <c r="B7" s="20">
        <f>B6/B28</f>
        <v>0.35093502757132583</v>
      </c>
      <c r="C7" s="20">
        <f>C6/C28</f>
        <v>0.36618342262842735</v>
      </c>
      <c r="D7" s="32">
        <v>1.831764706</v>
      </c>
      <c r="E7" s="32">
        <v>1.1007751939999999</v>
      </c>
      <c r="F7" s="31">
        <v>0.65343074999999995</v>
      </c>
    </row>
    <row r="8" spans="1:6" ht="34" x14ac:dyDescent="0.2">
      <c r="A8" s="7">
        <v>10</v>
      </c>
      <c r="B8" s="21">
        <v>8.27</v>
      </c>
      <c r="C8" s="22">
        <v>16.440000000000001</v>
      </c>
      <c r="D8" s="27" t="s">
        <v>14</v>
      </c>
      <c r="E8" s="27" t="s">
        <v>25</v>
      </c>
      <c r="F8" s="29">
        <v>67.55</v>
      </c>
    </row>
    <row r="9" spans="1:6" x14ac:dyDescent="0.2">
      <c r="A9" s="8" t="s">
        <v>3</v>
      </c>
      <c r="B9" s="20">
        <f>B8/B28</f>
        <v>0.49568448813234228</v>
      </c>
      <c r="C9" s="20">
        <f>C8/C28</f>
        <v>0.51812165143397415</v>
      </c>
      <c r="D9" s="32">
        <v>0.97647058799999997</v>
      </c>
      <c r="E9" s="32">
        <v>1.0930232559999999</v>
      </c>
      <c r="F9" s="31">
        <v>0.71526895400000001</v>
      </c>
    </row>
    <row r="10" spans="1:6" ht="34" x14ac:dyDescent="0.2">
      <c r="A10" s="7">
        <v>15</v>
      </c>
      <c r="B10" s="21">
        <v>12.295</v>
      </c>
      <c r="C10" s="22">
        <v>24.475000000000001</v>
      </c>
      <c r="D10" s="27" t="s">
        <v>15</v>
      </c>
      <c r="E10" s="27" t="s">
        <v>25</v>
      </c>
      <c r="F10" s="29">
        <v>72.137500000000003</v>
      </c>
    </row>
    <row r="11" spans="1:6" x14ac:dyDescent="0.2">
      <c r="A11" s="8" t="s">
        <v>3</v>
      </c>
      <c r="B11" s="20">
        <f>B10/B28</f>
        <v>0.73693358906736983</v>
      </c>
      <c r="C11" s="20">
        <f>C10/C28</f>
        <v>0.77135203277655218</v>
      </c>
      <c r="D11" s="32">
        <v>1.1211764710000001</v>
      </c>
      <c r="E11" s="32">
        <v>1.0930232559999999</v>
      </c>
      <c r="F11" s="31">
        <v>0.76387124100000003</v>
      </c>
    </row>
    <row r="12" spans="1:6" ht="34" x14ac:dyDescent="0.2">
      <c r="A12" s="7">
        <v>20</v>
      </c>
      <c r="B12" s="21">
        <v>16.32</v>
      </c>
      <c r="C12" s="22">
        <v>32.51</v>
      </c>
      <c r="D12" s="27" t="s">
        <v>16</v>
      </c>
      <c r="E12" s="27" t="s">
        <v>26</v>
      </c>
      <c r="F12" s="29">
        <v>79.412499999999994</v>
      </c>
    </row>
    <row r="13" spans="1:6" x14ac:dyDescent="0.2">
      <c r="A13" s="8" t="s">
        <v>3</v>
      </c>
      <c r="B13" s="20">
        <f>B12/B28</f>
        <v>0.97818269000239744</v>
      </c>
      <c r="C13" s="20">
        <f>C12/C28</f>
        <v>1.02458241411913</v>
      </c>
      <c r="D13" s="32">
        <v>1.155882353</v>
      </c>
      <c r="E13" s="32">
        <v>1.1007751939999999</v>
      </c>
      <c r="F13" s="31">
        <v>0.84085133400000001</v>
      </c>
    </row>
    <row r="14" spans="1:6" ht="34" x14ac:dyDescent="0.2">
      <c r="A14" s="7">
        <v>25</v>
      </c>
      <c r="B14" s="15">
        <f xml:space="preserve"> 20345 / 1000</f>
        <v>20.344999999999999</v>
      </c>
      <c r="C14" s="15">
        <f>40545 / 1000</f>
        <v>40.545000000000002</v>
      </c>
      <c r="D14" s="27" t="s">
        <v>17</v>
      </c>
      <c r="E14" s="27" t="s">
        <v>27</v>
      </c>
      <c r="F14" s="29">
        <v>74.1875</v>
      </c>
    </row>
    <row r="15" spans="1:6" x14ac:dyDescent="0.2">
      <c r="A15" s="8" t="s">
        <v>3</v>
      </c>
      <c r="B15" s="20">
        <f>B14/B28</f>
        <v>1.219431790937425</v>
      </c>
      <c r="C15" s="20">
        <f>C14/C28</f>
        <v>1.2778127954617082</v>
      </c>
      <c r="D15" s="32">
        <v>1.1429411759999999</v>
      </c>
      <c r="E15" s="32">
        <v>1.0930232559999999</v>
      </c>
      <c r="F15" s="31">
        <v>0.78557814500000001</v>
      </c>
    </row>
    <row r="16" spans="1:6" ht="34" x14ac:dyDescent="0.2">
      <c r="A16" s="7">
        <v>30</v>
      </c>
      <c r="B16" s="21">
        <v>24.37</v>
      </c>
      <c r="C16" s="22">
        <v>48.58</v>
      </c>
      <c r="D16" s="27" t="s">
        <v>18</v>
      </c>
      <c r="E16" s="27" t="s">
        <v>28</v>
      </c>
      <c r="F16" s="29">
        <v>74.662499999999994</v>
      </c>
    </row>
    <row r="17" spans="1:6" x14ac:dyDescent="0.2">
      <c r="A17" s="8" t="s">
        <v>3</v>
      </c>
      <c r="B17" s="20">
        <f>B16/B28</f>
        <v>1.4606808918724525</v>
      </c>
      <c r="C17" s="20">
        <f>C16/C28</f>
        <v>1.531043176804286</v>
      </c>
      <c r="D17" s="32">
        <v>1.41</v>
      </c>
      <c r="E17" s="32">
        <v>1.1007751939999999</v>
      </c>
      <c r="F17" s="31">
        <v>0.79055485000000003</v>
      </c>
    </row>
    <row r="18" spans="1:6" ht="34" x14ac:dyDescent="0.2">
      <c r="A18" s="7">
        <v>40</v>
      </c>
      <c r="B18" s="21">
        <v>32.42</v>
      </c>
      <c r="C18" s="22">
        <v>64.650000000000006</v>
      </c>
      <c r="D18" s="27" t="s">
        <v>19</v>
      </c>
      <c r="E18" s="27" t="s">
        <v>29</v>
      </c>
      <c r="F18" s="29">
        <v>74.887500000000003</v>
      </c>
    </row>
    <row r="19" spans="1:6" x14ac:dyDescent="0.2">
      <c r="A19" s="8" t="s">
        <v>3</v>
      </c>
      <c r="B19" s="20">
        <f>B18/B28</f>
        <v>1.9431790937425077</v>
      </c>
      <c r="C19" s="20">
        <f>C18/C28</f>
        <v>2.0375039394894423</v>
      </c>
      <c r="D19" s="32">
        <v>1.351764706</v>
      </c>
      <c r="E19" s="32">
        <v>1.11627907</v>
      </c>
      <c r="F19" s="31">
        <v>0.792990258</v>
      </c>
    </row>
    <row r="20" spans="1:6" ht="34" x14ac:dyDescent="0.2">
      <c r="A20" s="7">
        <v>50</v>
      </c>
      <c r="B20" s="21">
        <v>40.47</v>
      </c>
      <c r="C20" s="22">
        <v>80.72</v>
      </c>
      <c r="D20" s="27" t="s">
        <v>20</v>
      </c>
      <c r="E20" s="27" t="s">
        <v>30</v>
      </c>
      <c r="F20" s="29">
        <v>81.5625</v>
      </c>
    </row>
    <row r="21" spans="1:6" x14ac:dyDescent="0.2">
      <c r="A21" s="8" t="s">
        <v>3</v>
      </c>
      <c r="B21" s="20">
        <f>B20/B28</f>
        <v>2.4256772956125627</v>
      </c>
      <c r="C21" s="20">
        <f>C20/C28</f>
        <v>2.5439647021745979</v>
      </c>
      <c r="D21" s="32">
        <v>1.767647059</v>
      </c>
      <c r="E21" s="32">
        <v>1.131782946</v>
      </c>
      <c r="F21" s="31">
        <v>0.86361711100000005</v>
      </c>
    </row>
    <row r="22" spans="1:6" ht="34" x14ac:dyDescent="0.2">
      <c r="A22" s="7">
        <v>70</v>
      </c>
      <c r="B22" s="21">
        <f>56570/1000</f>
        <v>56.57</v>
      </c>
      <c r="C22" s="22">
        <f>112860/1000</f>
        <v>112.86</v>
      </c>
      <c r="D22" s="27" t="s">
        <v>21</v>
      </c>
      <c r="E22" s="27" t="s">
        <v>31</v>
      </c>
      <c r="F22" s="29">
        <v>75.125</v>
      </c>
    </row>
    <row r="23" spans="1:6" x14ac:dyDescent="0.2">
      <c r="A23" s="8" t="s">
        <v>3</v>
      </c>
      <c r="B23" s="20">
        <f>B22/B28</f>
        <v>3.3906736993526732</v>
      </c>
      <c r="C23" s="20">
        <f>C22/C28</f>
        <v>3.55688622754491</v>
      </c>
      <c r="D23" s="32">
        <v>2.1535294120000001</v>
      </c>
      <c r="E23" s="32">
        <v>1.11627907</v>
      </c>
      <c r="F23" s="31">
        <v>0.79553155399999997</v>
      </c>
    </row>
    <row r="24" spans="1:6" ht="34" x14ac:dyDescent="0.2">
      <c r="A24" s="13">
        <v>100</v>
      </c>
      <c r="B24" s="23">
        <f>80720/1000</f>
        <v>80.72</v>
      </c>
      <c r="C24" s="24">
        <f>161070/1000</f>
        <v>161.07</v>
      </c>
      <c r="D24" s="28" t="s">
        <v>22</v>
      </c>
      <c r="E24" s="28" t="s">
        <v>32</v>
      </c>
      <c r="F24" s="30">
        <v>83.974999999999994</v>
      </c>
    </row>
    <row r="25" spans="1:6" x14ac:dyDescent="0.2">
      <c r="A25" s="8" t="s">
        <v>3</v>
      </c>
      <c r="B25" s="20">
        <f>B24/B28</f>
        <v>4.8381683049628386</v>
      </c>
      <c r="C25" s="20">
        <f>C24/C28</f>
        <v>5.0762685156003782</v>
      </c>
      <c r="D25" s="32">
        <v>2.8211764709999998</v>
      </c>
      <c r="E25" s="32">
        <v>1.11627907</v>
      </c>
      <c r="F25" s="31">
        <v>0.88924184699999997</v>
      </c>
    </row>
    <row r="26" spans="1:6" ht="34" x14ac:dyDescent="0.2">
      <c r="A26" s="13">
        <v>150</v>
      </c>
      <c r="B26" s="23">
        <f>120970/1000</f>
        <v>120.97</v>
      </c>
      <c r="C26" s="24">
        <f>241420/1000</f>
        <v>241.42</v>
      </c>
      <c r="D26" s="28" t="s">
        <v>23</v>
      </c>
      <c r="E26" s="28" t="s">
        <v>33</v>
      </c>
      <c r="F26" s="30">
        <v>83.65</v>
      </c>
    </row>
    <row r="27" spans="1:6" x14ac:dyDescent="0.2">
      <c r="A27" s="8" t="s">
        <v>3</v>
      </c>
      <c r="B27" s="20">
        <f>B26/B28</f>
        <v>7.2506593143131139</v>
      </c>
      <c r="C27" s="20">
        <f>C26/C28</f>
        <v>7.608572329026158</v>
      </c>
      <c r="D27" s="32">
        <v>3.92</v>
      </c>
      <c r="E27" s="32">
        <v>1.124031008</v>
      </c>
      <c r="F27" s="31">
        <v>0.88574756499999996</v>
      </c>
    </row>
    <row r="28" spans="1:6" x14ac:dyDescent="0.2">
      <c r="A28" s="2" t="s">
        <v>8</v>
      </c>
      <c r="B28" s="23">
        <v>16.684000000000001</v>
      </c>
      <c r="C28" s="15">
        <v>31.73</v>
      </c>
      <c r="D28" s="1" t="s">
        <v>24</v>
      </c>
      <c r="E28" s="1" t="s">
        <v>34</v>
      </c>
      <c r="F28" s="30">
        <v>94.4375</v>
      </c>
    </row>
    <row r="29" spans="1:6" x14ac:dyDescent="0.2">
      <c r="B29" s="25"/>
      <c r="C29" s="2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33D5-7491-4B4B-803E-E1011D1C9FBC}">
  <dimension ref="A1:AJ79"/>
  <sheetViews>
    <sheetView tabSelected="1" topLeftCell="A21" zoomScale="130" zoomScaleNormal="130" workbookViewId="0">
      <selection activeCell="E31" sqref="E31"/>
    </sheetView>
  </sheetViews>
  <sheetFormatPr baseColWidth="10" defaultRowHeight="16" x14ac:dyDescent="0.2"/>
  <cols>
    <col min="2" max="2" width="16.33203125" customWidth="1"/>
    <col min="3" max="3" width="21.5" customWidth="1"/>
    <col min="4" max="4" width="21.83203125" customWidth="1"/>
    <col min="5" max="5" width="19.83203125" customWidth="1"/>
    <col min="6" max="6" width="25" customWidth="1"/>
    <col min="7" max="7" width="20" customWidth="1"/>
    <col min="8" max="8" width="18.83203125" customWidth="1"/>
    <col min="9" max="9" width="12.1640625" bestFit="1" customWidth="1"/>
    <col min="12" max="12" width="22.5" customWidth="1"/>
    <col min="13" max="13" width="19.83203125" customWidth="1"/>
  </cols>
  <sheetData>
    <row r="1" spans="1:34" ht="34" x14ac:dyDescent="0.2">
      <c r="A1" s="54" t="s">
        <v>93</v>
      </c>
      <c r="B1" s="55"/>
      <c r="C1" s="27" t="s">
        <v>43</v>
      </c>
      <c r="D1" s="27" t="s">
        <v>63</v>
      </c>
      <c r="E1" s="27" t="s">
        <v>64</v>
      </c>
      <c r="F1" s="27" t="s">
        <v>91</v>
      </c>
      <c r="G1" s="28"/>
      <c r="H1" s="28"/>
    </row>
    <row r="2" spans="1:34" x14ac:dyDescent="0.2">
      <c r="A2" s="34" t="s">
        <v>39</v>
      </c>
      <c r="B2" s="10" t="s">
        <v>65</v>
      </c>
      <c r="C2" s="10">
        <v>1</v>
      </c>
      <c r="D2" s="10">
        <v>6</v>
      </c>
      <c r="E2" s="38">
        <v>156</v>
      </c>
      <c r="F2" s="1">
        <f>AE3</f>
        <v>231.28</v>
      </c>
      <c r="I2">
        <v>43904</v>
      </c>
      <c r="J2" s="33">
        <v>171596</v>
      </c>
      <c r="K2">
        <v>19332</v>
      </c>
      <c r="L2">
        <v>3663</v>
      </c>
      <c r="M2">
        <v>1680</v>
      </c>
      <c r="AG2">
        <f>ROUND(AH2, 2)</f>
        <v>4.22</v>
      </c>
      <c r="AH2" s="12">
        <f>E2 / E3</f>
        <v>4.2162162162162158</v>
      </c>
    </row>
    <row r="3" spans="1:34" x14ac:dyDescent="0.2">
      <c r="A3" s="35"/>
      <c r="B3" s="44" t="s">
        <v>66</v>
      </c>
      <c r="C3" s="12"/>
      <c r="D3" s="12">
        <v>1</v>
      </c>
      <c r="E3" s="39">
        <v>37</v>
      </c>
      <c r="F3" s="1" t="str">
        <f>_xlfn.CONCAT(I4," ", M7)</f>
        <v>43.9 $(=38.42+5.49)$</v>
      </c>
      <c r="I3">
        <f>I2/1000</f>
        <v>43.904000000000003</v>
      </c>
      <c r="J3">
        <f t="shared" ref="J3:M3" si="0">J2/1000</f>
        <v>171.596</v>
      </c>
      <c r="K3">
        <f t="shared" si="0"/>
        <v>19.332000000000001</v>
      </c>
      <c r="L3">
        <f t="shared" si="0"/>
        <v>3.6629999999999998</v>
      </c>
      <c r="M3">
        <f t="shared" si="0"/>
        <v>1.68</v>
      </c>
      <c r="AD3" s="38">
        <v>231280</v>
      </c>
      <c r="AE3" s="33">
        <f>AD3/1000</f>
        <v>231.28</v>
      </c>
      <c r="AG3" t="e">
        <f t="shared" ref="AG3:AG16" si="1">ROUND(AH3, 2)</f>
        <v>#VALUE!</v>
      </c>
      <c r="AH3" s="12" t="e">
        <f>E3 / E4</f>
        <v>#VALUE!</v>
      </c>
    </row>
    <row r="4" spans="1:34" x14ac:dyDescent="0.2">
      <c r="A4" s="37"/>
      <c r="B4" s="42" t="s">
        <v>67</v>
      </c>
      <c r="C4" s="9"/>
      <c r="D4" s="9"/>
      <c r="E4" s="74" t="str">
        <f>_xlfn.CONCAT("$ \times ", AG2, "$")</f>
        <v>$ \times 4.22$</v>
      </c>
      <c r="F4" s="1" t="str">
        <f>_xlfn.CONCAT("$\times ",G4,"$")</f>
        <v>$\times 5.27$</v>
      </c>
      <c r="G4">
        <f>ROUND(H4, 2)</f>
        <v>5.27</v>
      </c>
      <c r="H4">
        <f>F2/I4</f>
        <v>5.268337129840547</v>
      </c>
      <c r="I4">
        <f>ROUND(I3, 2)</f>
        <v>43.9</v>
      </c>
      <c r="J4">
        <f t="shared" ref="J4:M4" si="2">ROUND(J3, 2)</f>
        <v>171.6</v>
      </c>
      <c r="K4">
        <f t="shared" si="2"/>
        <v>19.329999999999998</v>
      </c>
      <c r="L4">
        <f t="shared" si="2"/>
        <v>3.66</v>
      </c>
      <c r="M4">
        <f t="shared" si="2"/>
        <v>1.68</v>
      </c>
      <c r="AD4" s="1"/>
      <c r="AE4" s="33">
        <f t="shared" ref="AE4:AE15" si="3">AD4/1000</f>
        <v>0</v>
      </c>
      <c r="AG4" t="e">
        <f t="shared" si="1"/>
        <v>#VALUE!</v>
      </c>
      <c r="AH4" s="12" t="e">
        <f>E4 / E5</f>
        <v>#VALUE!</v>
      </c>
    </row>
    <row r="5" spans="1:34" x14ac:dyDescent="0.2">
      <c r="A5" s="34" t="s">
        <v>40</v>
      </c>
      <c r="B5" s="10" t="s">
        <v>65</v>
      </c>
      <c r="C5" s="10">
        <v>6</v>
      </c>
      <c r="D5" s="10">
        <v>16</v>
      </c>
      <c r="E5" s="38">
        <v>2416</v>
      </c>
      <c r="F5" s="1">
        <f>AE6</f>
        <v>478.5</v>
      </c>
      <c r="G5">
        <f t="shared" ref="G5:G7" si="4">ROUND(H5, 2)</f>
        <v>2.79</v>
      </c>
      <c r="H5">
        <f>F5/J4</f>
        <v>2.7884615384615388</v>
      </c>
      <c r="AD5" s="59"/>
      <c r="AE5" s="33">
        <f t="shared" si="3"/>
        <v>0</v>
      </c>
      <c r="AG5">
        <f t="shared" si="1"/>
        <v>3.28</v>
      </c>
      <c r="AH5" s="12">
        <f>E5 / E6</f>
        <v>3.2826086956521738</v>
      </c>
    </row>
    <row r="6" spans="1:34" x14ac:dyDescent="0.2">
      <c r="A6" s="35"/>
      <c r="B6" s="44" t="s">
        <v>66</v>
      </c>
      <c r="C6" s="12">
        <v>4</v>
      </c>
      <c r="D6" s="12">
        <v>6</v>
      </c>
      <c r="E6" s="39">
        <v>736</v>
      </c>
      <c r="F6" s="1" t="str">
        <f>_xlfn.CONCAT(J4," ", M8)</f>
        <v>171.6 $(=34.5+119.4+17.7)$</v>
      </c>
      <c r="G6">
        <f t="shared" si="4"/>
        <v>4.97</v>
      </c>
      <c r="H6">
        <f>F8/K4</f>
        <v>4.9663735126745996</v>
      </c>
      <c r="AD6" s="24">
        <v>478500</v>
      </c>
      <c r="AE6" s="33">
        <f t="shared" si="3"/>
        <v>478.5</v>
      </c>
      <c r="AG6" t="e">
        <f t="shared" si="1"/>
        <v>#VALUE!</v>
      </c>
      <c r="AH6" s="12" t="e">
        <f>E6 / E7</f>
        <v>#VALUE!</v>
      </c>
    </row>
    <row r="7" spans="1:34" x14ac:dyDescent="0.2">
      <c r="A7" s="37"/>
      <c r="B7" s="42" t="s">
        <v>67</v>
      </c>
      <c r="C7" s="9"/>
      <c r="D7" s="9"/>
      <c r="E7" s="74" t="str">
        <f>_xlfn.CONCAT("$ \times ", AG5, "$")</f>
        <v>$ \times 3.28$</v>
      </c>
      <c r="F7" s="1" t="str">
        <f>_xlfn.CONCAT("$\times ",G5,"$")</f>
        <v>$\times 2.79$</v>
      </c>
      <c r="G7">
        <f t="shared" si="4"/>
        <v>5.51</v>
      </c>
      <c r="H7">
        <f>F11/L4</f>
        <v>5.5081967213114753</v>
      </c>
      <c r="I7">
        <v>38.42</v>
      </c>
      <c r="J7">
        <v>5.49</v>
      </c>
      <c r="M7" t="str">
        <f>_xlfn.CONCAT("$(=",I7, "+", J7,")$")</f>
        <v>$(=38.42+5.49)$</v>
      </c>
      <c r="AD7" s="1"/>
      <c r="AE7" s="33">
        <f t="shared" si="3"/>
        <v>0</v>
      </c>
      <c r="AG7" t="e">
        <f t="shared" si="1"/>
        <v>#VALUE!</v>
      </c>
      <c r="AH7" s="12" t="e">
        <f>E7 / E8</f>
        <v>#VALUE!</v>
      </c>
    </row>
    <row r="8" spans="1:34" x14ac:dyDescent="0.2">
      <c r="A8" s="34" t="s">
        <v>41</v>
      </c>
      <c r="B8" s="12" t="s">
        <v>65</v>
      </c>
      <c r="C8" s="12">
        <v>400</v>
      </c>
      <c r="D8" s="12">
        <v>120</v>
      </c>
      <c r="E8" s="39">
        <v>48120</v>
      </c>
      <c r="F8" s="1">
        <f>AE9</f>
        <v>96</v>
      </c>
      <c r="I8" s="25">
        <v>34.5</v>
      </c>
      <c r="J8" s="25">
        <v>119.4</v>
      </c>
      <c r="K8" s="25">
        <v>17.7</v>
      </c>
      <c r="M8" t="str">
        <f>_xlfn.CONCAT("$(=",I8, "+", J8,"+",K8,")$")</f>
        <v>$(=34.5+119.4+17.7)$</v>
      </c>
      <c r="AD8" s="60"/>
      <c r="AE8" s="33">
        <f t="shared" si="3"/>
        <v>0</v>
      </c>
      <c r="AG8">
        <f t="shared" si="1"/>
        <v>4.91</v>
      </c>
      <c r="AH8" s="12">
        <f>E8 / E9</f>
        <v>4.908200734394125</v>
      </c>
    </row>
    <row r="9" spans="1:34" x14ac:dyDescent="0.2">
      <c r="A9" s="35"/>
      <c r="B9" s="44" t="s">
        <v>66</v>
      </c>
      <c r="C9" s="12">
        <v>18</v>
      </c>
      <c r="D9" s="12">
        <v>18</v>
      </c>
      <c r="E9" s="39">
        <v>9804</v>
      </c>
      <c r="F9" s="1" t="str">
        <f>_xlfn.CONCAT(K4," ", M9)</f>
        <v>19.33 $(=14.38+0.63+4.32)$</v>
      </c>
      <c r="I9">
        <v>14.38</v>
      </c>
      <c r="J9">
        <v>0.63</v>
      </c>
      <c r="K9">
        <v>4.32</v>
      </c>
      <c r="M9" t="str">
        <f t="shared" ref="M9:M11" si="5">_xlfn.CONCAT("$(=",I9, "+", J9,"+",K9,")$")</f>
        <v>$(=14.38+0.63+4.32)$</v>
      </c>
      <c r="AD9" s="22">
        <v>96000</v>
      </c>
      <c r="AE9" s="33">
        <f t="shared" si="3"/>
        <v>96</v>
      </c>
      <c r="AG9" t="e">
        <f t="shared" si="1"/>
        <v>#VALUE!</v>
      </c>
      <c r="AH9" s="12" t="e">
        <f>E9 / E10</f>
        <v>#VALUE!</v>
      </c>
    </row>
    <row r="10" spans="1:34" x14ac:dyDescent="0.2">
      <c r="A10" s="37"/>
      <c r="B10" s="42" t="s">
        <v>67</v>
      </c>
      <c r="C10" s="9"/>
      <c r="D10" s="9"/>
      <c r="E10" s="74" t="str">
        <f>_xlfn.CONCAT("$ \times ", AG8, "$")</f>
        <v>$ \times 4.91$</v>
      </c>
      <c r="F10" s="1" t="str">
        <f>_xlfn.CONCAT("$\times ",G6,"$")</f>
        <v>$\times 4.97$</v>
      </c>
      <c r="I10">
        <v>2.15</v>
      </c>
      <c r="J10">
        <v>1.51</v>
      </c>
      <c r="M10" t="str">
        <f>_xlfn.CONCAT("$(=",I10, "+", J10,")$")</f>
        <v>$(=2.15+1.51)$</v>
      </c>
      <c r="AD10" s="1"/>
      <c r="AE10" s="33">
        <f t="shared" si="3"/>
        <v>0</v>
      </c>
      <c r="AG10" t="e">
        <f t="shared" si="1"/>
        <v>#VALUE!</v>
      </c>
      <c r="AH10" s="12" t="e">
        <f>E10 / E11</f>
        <v>#VALUE!</v>
      </c>
    </row>
    <row r="11" spans="1:34" x14ac:dyDescent="0.2">
      <c r="A11" s="34" t="s">
        <v>42</v>
      </c>
      <c r="B11" s="10" t="s">
        <v>65</v>
      </c>
      <c r="C11" s="10">
        <v>120</v>
      </c>
      <c r="D11" s="10">
        <v>84</v>
      </c>
      <c r="E11" s="38">
        <v>10164</v>
      </c>
      <c r="F11" s="1">
        <f>AE12</f>
        <v>20.16</v>
      </c>
      <c r="I11">
        <v>1.68</v>
      </c>
      <c r="AD11" s="60"/>
      <c r="AE11" s="33">
        <f t="shared" si="3"/>
        <v>0</v>
      </c>
      <c r="AG11">
        <f t="shared" si="1"/>
        <v>5.29</v>
      </c>
      <c r="AH11" s="12">
        <f>E11 / E12</f>
        <v>5.2937500000000002</v>
      </c>
    </row>
    <row r="12" spans="1:34" x14ac:dyDescent="0.2">
      <c r="A12" s="35"/>
      <c r="B12" s="44" t="s">
        <v>66</v>
      </c>
      <c r="C12" s="12" t="s">
        <v>44</v>
      </c>
      <c r="D12" s="12">
        <v>9</v>
      </c>
      <c r="E12" s="39">
        <v>1920</v>
      </c>
      <c r="F12" s="1" t="str">
        <f>_xlfn.CONCAT(L4," ", M10)</f>
        <v>3.66 $(=2.15+1.51)$</v>
      </c>
      <c r="AD12" s="38">
        <v>20160</v>
      </c>
      <c r="AE12" s="33">
        <f t="shared" si="3"/>
        <v>20.16</v>
      </c>
      <c r="AG12" t="e">
        <f t="shared" si="1"/>
        <v>#VALUE!</v>
      </c>
      <c r="AH12" s="12" t="e">
        <f>E12 / E13</f>
        <v>#VALUE!</v>
      </c>
    </row>
    <row r="13" spans="1:34" x14ac:dyDescent="0.2">
      <c r="A13" s="37"/>
      <c r="B13" s="47" t="s">
        <v>67</v>
      </c>
      <c r="C13" s="12"/>
      <c r="D13" s="12"/>
      <c r="E13" s="74" t="str">
        <f>_xlfn.CONCAT("$ \times ", AG11, "$")</f>
        <v>$ \times 5.29$</v>
      </c>
      <c r="F13" s="1" t="str">
        <f>_xlfn.CONCAT("$\times ",G7,"$")</f>
        <v>$\times 5.51$</v>
      </c>
      <c r="AD13" s="39"/>
      <c r="AE13" s="33">
        <f t="shared" si="3"/>
        <v>0</v>
      </c>
      <c r="AG13" t="e">
        <f t="shared" si="1"/>
        <v>#VALUE!</v>
      </c>
      <c r="AH13" s="12" t="e">
        <f>E13 / E14</f>
        <v>#VALUE!</v>
      </c>
    </row>
    <row r="14" spans="1:34" x14ac:dyDescent="0.2">
      <c r="A14" s="34" t="s">
        <v>62</v>
      </c>
      <c r="B14" s="10" t="s">
        <v>65</v>
      </c>
      <c r="C14" s="10">
        <v>84</v>
      </c>
      <c r="D14" s="10">
        <v>10</v>
      </c>
      <c r="E14" s="38">
        <v>850</v>
      </c>
      <c r="F14" s="1">
        <f>AE15</f>
        <v>1.68</v>
      </c>
      <c r="AD14" s="60"/>
      <c r="AE14" s="33">
        <f t="shared" si="3"/>
        <v>0</v>
      </c>
      <c r="AG14">
        <f t="shared" si="1"/>
        <v>1</v>
      </c>
      <c r="AH14" s="12">
        <f>E14 / E15</f>
        <v>1</v>
      </c>
    </row>
    <row r="15" spans="1:34" x14ac:dyDescent="0.2">
      <c r="A15" s="35"/>
      <c r="B15" s="44" t="s">
        <v>66</v>
      </c>
      <c r="C15" s="12" t="s">
        <v>44</v>
      </c>
      <c r="D15" s="12" t="s">
        <v>44</v>
      </c>
      <c r="E15" s="39">
        <v>850</v>
      </c>
      <c r="F15" s="1">
        <f>M4</f>
        <v>1.68</v>
      </c>
      <c r="AD15" s="22">
        <v>1680</v>
      </c>
      <c r="AE15" s="33">
        <f t="shared" si="3"/>
        <v>1.68</v>
      </c>
      <c r="AG15" t="e">
        <f t="shared" si="1"/>
        <v>#VALUE!</v>
      </c>
      <c r="AH15" s="12" t="e">
        <f>E15 / E16</f>
        <v>#VALUE!</v>
      </c>
    </row>
    <row r="16" spans="1:34" x14ac:dyDescent="0.2">
      <c r="A16" s="37"/>
      <c r="B16" s="47" t="s">
        <v>67</v>
      </c>
      <c r="C16" s="47"/>
      <c r="D16" s="47"/>
      <c r="E16" s="74" t="str">
        <f>_xlfn.CONCAT("$ \times ", AG14, "$")</f>
        <v>$ \times 1$</v>
      </c>
      <c r="F16" s="15" t="s">
        <v>92</v>
      </c>
      <c r="AG16" t="e">
        <f t="shared" si="1"/>
        <v>#VALUE!</v>
      </c>
      <c r="AH16" s="12" t="e">
        <f>E16 / E17</f>
        <v>#VALUE!</v>
      </c>
    </row>
    <row r="17" spans="1:36" x14ac:dyDescent="0.2">
      <c r="A17" s="34" t="s">
        <v>45</v>
      </c>
      <c r="B17" s="10" t="s">
        <v>65</v>
      </c>
      <c r="C17" s="10"/>
      <c r="D17" s="10"/>
      <c r="E17" s="38">
        <f>E2+E5+E8+E11+E14</f>
        <v>61706</v>
      </c>
      <c r="F17" s="1">
        <f>F2+F5+F8+F11+F14</f>
        <v>827.61999999999989</v>
      </c>
      <c r="G17" s="11"/>
      <c r="H17" s="11"/>
    </row>
    <row r="18" spans="1:36" x14ac:dyDescent="0.2">
      <c r="A18" s="35"/>
      <c r="B18" s="44" t="s">
        <v>66</v>
      </c>
      <c r="C18" s="12"/>
      <c r="D18" s="12"/>
      <c r="E18" s="39">
        <f>E3+E6+E9+E12+E15</f>
        <v>13347</v>
      </c>
      <c r="F18" s="15">
        <f>SUM(I3:M3)</f>
        <v>240.17500000000001</v>
      </c>
      <c r="G18" s="11"/>
      <c r="H18" s="11"/>
    </row>
    <row r="19" spans="1:36" x14ac:dyDescent="0.2">
      <c r="A19" s="37"/>
      <c r="B19" s="42" t="s">
        <v>67</v>
      </c>
      <c r="C19" s="9"/>
      <c r="D19" s="9"/>
      <c r="E19" s="60" t="s">
        <v>90</v>
      </c>
      <c r="F19" s="1" t="s">
        <v>94</v>
      </c>
      <c r="G19" s="11"/>
      <c r="H19" s="11"/>
    </row>
    <row r="22" spans="1:36" x14ac:dyDescent="0.2">
      <c r="A22" s="45" t="s">
        <v>93</v>
      </c>
      <c r="B22" s="46"/>
      <c r="C22" s="5" t="s">
        <v>2</v>
      </c>
      <c r="D22" s="5" t="s">
        <v>5</v>
      </c>
    </row>
    <row r="23" spans="1:36" x14ac:dyDescent="0.2">
      <c r="A23" s="61" t="s">
        <v>39</v>
      </c>
      <c r="B23" s="16" t="s">
        <v>65</v>
      </c>
      <c r="C23" s="16" t="str">
        <f>_xlfn.CONCAT("$", M63, "\pm ", M65, "$")</f>
        <v>$7.085\pm 1.347$</v>
      </c>
      <c r="D23" s="62" t="str">
        <f>_xlfn.CONCAT("$", U24, "\pm ", U26, "$")</f>
        <v>$0.143\pm 0.003$</v>
      </c>
      <c r="U23">
        <v>0.14343753000000001</v>
      </c>
      <c r="V23">
        <v>0.15612762999999999</v>
      </c>
      <c r="W23">
        <v>9.550177E-2</v>
      </c>
      <c r="X23">
        <v>7.7596120000000005E-2</v>
      </c>
      <c r="Y23">
        <v>7.9630729999999997E-2</v>
      </c>
    </row>
    <row r="24" spans="1:36" x14ac:dyDescent="0.2">
      <c r="A24" s="63"/>
      <c r="B24" s="63" t="s">
        <v>66</v>
      </c>
      <c r="C24" s="56" t="str">
        <f>_xlfn.CONCAT("$", F63, "\pm ", AJ31, "$")</f>
        <v>$12.274\pm 0.207$</v>
      </c>
      <c r="D24" s="41" t="str">
        <f>_xlfn.CONCAT("$", U31, "\pm ", U32, "$")</f>
        <v>$0.223\pm 0.003$</v>
      </c>
      <c r="T24" t="s">
        <v>100</v>
      </c>
      <c r="U24">
        <f>ROUND(U23, 3)</f>
        <v>0.14299999999999999</v>
      </c>
      <c r="V24">
        <f t="shared" ref="V24:Y24" si="6">ROUND(V23, 3)</f>
        <v>0.156</v>
      </c>
      <c r="W24">
        <f t="shared" si="6"/>
        <v>9.6000000000000002E-2</v>
      </c>
      <c r="X24">
        <f t="shared" si="6"/>
        <v>7.8E-2</v>
      </c>
      <c r="Y24">
        <f t="shared" si="6"/>
        <v>0.08</v>
      </c>
    </row>
    <row r="25" spans="1:36" x14ac:dyDescent="0.2">
      <c r="A25" s="63"/>
      <c r="B25" s="63"/>
      <c r="C25" s="5" t="str">
        <f>L68</f>
        <v>$(=3.422+8.852)$</v>
      </c>
      <c r="D25" s="5" t="str">
        <f>L26</f>
        <v>$(=0.087+0.136)$</v>
      </c>
      <c r="T25" t="s">
        <v>96</v>
      </c>
      <c r="U25">
        <v>3.4899000000000002E-3</v>
      </c>
      <c r="V25">
        <v>3.85521E-3</v>
      </c>
      <c r="W25">
        <v>2.38215E-3</v>
      </c>
      <c r="X25">
        <v>2.0692800000000002E-3</v>
      </c>
      <c r="Y25">
        <v>2.79232E-3</v>
      </c>
    </row>
    <row r="26" spans="1:36" ht="17" x14ac:dyDescent="0.2">
      <c r="A26" s="64"/>
      <c r="B26" s="42" t="s">
        <v>67</v>
      </c>
      <c r="C26" s="65" t="str">
        <f>_xlfn.CONCAT("$ \times ", G75, "$")</f>
        <v>$ \times 0.577$</v>
      </c>
      <c r="D26" s="66" t="str">
        <f>_xlfn.CONCAT("$ \times ", U35, "$")</f>
        <v>$ \times 0.64$</v>
      </c>
      <c r="F26">
        <v>8.6614659999999996E-2</v>
      </c>
      <c r="G26">
        <v>0.13645341</v>
      </c>
      <c r="I26">
        <f>ROUND(F26, 3)</f>
        <v>8.6999999999999994E-2</v>
      </c>
      <c r="J26">
        <f t="shared" ref="J26:K26" si="7">ROUND(G26, 3)</f>
        <v>0.13600000000000001</v>
      </c>
      <c r="K26">
        <f t="shared" si="7"/>
        <v>0</v>
      </c>
      <c r="L26" t="str">
        <f>_xlfn.CONCAT("$(=", I26, "+", J26, ")$")</f>
        <v>$(=0.087+0.136)$</v>
      </c>
      <c r="U26">
        <f>ROUND(U25, 3)</f>
        <v>3.0000000000000001E-3</v>
      </c>
      <c r="V26">
        <f t="shared" ref="V26:Y26" si="8">ROUND(V25, 3)</f>
        <v>4.0000000000000001E-3</v>
      </c>
      <c r="W26">
        <f t="shared" si="8"/>
        <v>2E-3</v>
      </c>
      <c r="X26">
        <f t="shared" si="8"/>
        <v>2E-3</v>
      </c>
      <c r="Y26">
        <f t="shared" si="8"/>
        <v>3.0000000000000001E-3</v>
      </c>
    </row>
    <row r="27" spans="1:36" x14ac:dyDescent="0.2">
      <c r="A27" s="61" t="s">
        <v>40</v>
      </c>
      <c r="B27" s="16" t="s">
        <v>65</v>
      </c>
      <c r="C27" s="16" t="str">
        <f>_xlfn.CONCAT("$", N63, "\pm ", N65, "$")</f>
        <v>$2.279\pm 0.074$</v>
      </c>
      <c r="D27" s="62" t="str">
        <f>_xlfn.CONCAT("$", V24, "\pm ", V26, "$")</f>
        <v>$0.156\pm 0.004$</v>
      </c>
      <c r="F27">
        <v>7.427636E-2</v>
      </c>
      <c r="G27">
        <v>8.8944200000000001E-2</v>
      </c>
      <c r="H27">
        <v>0.12832799</v>
      </c>
      <c r="I27">
        <f t="shared" ref="I27:I30" si="9">ROUND(F27, 3)</f>
        <v>7.3999999999999996E-2</v>
      </c>
      <c r="J27">
        <f t="shared" ref="J27:J30" si="10">ROUND(G27, 3)</f>
        <v>8.8999999999999996E-2</v>
      </c>
      <c r="K27">
        <f t="shared" ref="K27:K30" si="11">ROUND(H27, 3)</f>
        <v>0.128</v>
      </c>
      <c r="L27" t="str">
        <f t="shared" ref="L27:L30" si="12">_xlfn.CONCAT("$(=", I27, "+", J27, "+", K27, ")$")</f>
        <v>$(=0.074+0.089+0.128)$</v>
      </c>
    </row>
    <row r="28" spans="1:36" x14ac:dyDescent="0.2">
      <c r="A28" s="63"/>
      <c r="B28" s="63" t="s">
        <v>66</v>
      </c>
      <c r="C28" s="56" t="str">
        <f>_xlfn.CONCAT("$", G63, "\pm ", AJ32, "$")</f>
        <v>$4.182\pm 0.104$</v>
      </c>
      <c r="D28" s="41" t="str">
        <f>_xlfn.CONCAT("$", V31, "\pm ", V32, "$")</f>
        <v>$0.292\pm 0.004$</v>
      </c>
      <c r="F28">
        <v>9.2645779999999997E-2</v>
      </c>
      <c r="G28">
        <v>6.3369010000000003E-2</v>
      </c>
      <c r="H28">
        <v>7.9031459999999998E-2</v>
      </c>
      <c r="I28">
        <f t="shared" si="9"/>
        <v>9.2999999999999999E-2</v>
      </c>
      <c r="J28">
        <f t="shared" si="10"/>
        <v>6.3E-2</v>
      </c>
      <c r="K28">
        <f t="shared" si="11"/>
        <v>7.9000000000000001E-2</v>
      </c>
      <c r="L28" t="str">
        <f t="shared" si="12"/>
        <v>$(=0.093+0.063+0.079)$</v>
      </c>
    </row>
    <row r="29" spans="1:36" x14ac:dyDescent="0.2">
      <c r="A29" s="63"/>
      <c r="B29" s="63"/>
      <c r="C29" s="5" t="str">
        <f>L69</f>
        <v>$(=1.401+0.876+1.906)$</v>
      </c>
      <c r="D29" s="5" t="str">
        <f>L27</f>
        <v>$(=0.074+0.089+0.128)$</v>
      </c>
      <c r="F29">
        <v>6.0937020000000001E-2</v>
      </c>
      <c r="G29">
        <v>7.3951379999999997E-2</v>
      </c>
      <c r="I29">
        <f t="shared" si="9"/>
        <v>6.0999999999999999E-2</v>
      </c>
      <c r="J29">
        <f t="shared" si="10"/>
        <v>7.3999999999999996E-2</v>
      </c>
      <c r="K29">
        <f t="shared" si="11"/>
        <v>0</v>
      </c>
      <c r="L29" t="str">
        <f>_xlfn.CONCAT("$(=", I29, "+", J29, ")$")</f>
        <v>$(=0.061+0.074)$</v>
      </c>
    </row>
    <row r="30" spans="1:36" ht="17" x14ac:dyDescent="0.2">
      <c r="A30" s="64"/>
      <c r="B30" s="47" t="s">
        <v>67</v>
      </c>
      <c r="C30" s="65" t="str">
        <f>_xlfn.CONCAT("$ \times ", G76, "$")</f>
        <v>$ \times 0.545$</v>
      </c>
      <c r="D30" s="66" t="str">
        <f>_xlfn.CONCAT("$ \times ", V35, "$")</f>
        <v>$ \times 0.54$</v>
      </c>
      <c r="F30">
        <v>7.8961429999999999E-2</v>
      </c>
      <c r="I30">
        <f t="shared" si="9"/>
        <v>7.9000000000000001E-2</v>
      </c>
      <c r="J30">
        <f t="shared" si="10"/>
        <v>0</v>
      </c>
      <c r="K30">
        <f t="shared" si="11"/>
        <v>0</v>
      </c>
      <c r="U30">
        <v>0.22306808</v>
      </c>
      <c r="V30">
        <v>0.29154855000000002</v>
      </c>
      <c r="W30">
        <v>0.23504625000000001</v>
      </c>
      <c r="X30">
        <v>0.13488839999999999</v>
      </c>
      <c r="Y30">
        <v>7.8961429999999999E-2</v>
      </c>
    </row>
    <row r="31" spans="1:36" x14ac:dyDescent="0.2">
      <c r="A31" s="61" t="s">
        <v>41</v>
      </c>
      <c r="B31" s="16" t="s">
        <v>65</v>
      </c>
      <c r="C31" s="16" t="str">
        <f>_xlfn.CONCAT("$", O63, "\pm ", O65, "$")</f>
        <v>$0.31\pm 0.067$</v>
      </c>
      <c r="D31" s="62" t="str">
        <f>_xlfn.CONCAT("$", W24, "\pm ", W26, "$")</f>
        <v>$0.096\pm 0.002$</v>
      </c>
      <c r="T31" t="s">
        <v>81</v>
      </c>
      <c r="U31">
        <f>ROUND(U30, 3)</f>
        <v>0.223</v>
      </c>
      <c r="V31">
        <f t="shared" ref="V31:Y31" si="13">ROUND(V30, 3)</f>
        <v>0.29199999999999998</v>
      </c>
      <c r="W31">
        <f t="shared" si="13"/>
        <v>0.23499999999999999</v>
      </c>
      <c r="X31">
        <f t="shared" si="13"/>
        <v>0.13500000000000001</v>
      </c>
      <c r="Y31">
        <f t="shared" si="13"/>
        <v>7.9000000000000001E-2</v>
      </c>
      <c r="AC31">
        <v>0.10326844</v>
      </c>
      <c r="AD31">
        <v>0.17883655000000001</v>
      </c>
      <c r="AF31">
        <f>AC31^2</f>
        <v>1.06643707000336E-2</v>
      </c>
      <c r="AG31">
        <f t="shared" ref="AG31:AH31" si="14">AD31^2</f>
        <v>3.1982511615902501E-2</v>
      </c>
      <c r="AH31">
        <f t="shared" si="14"/>
        <v>0</v>
      </c>
      <c r="AI31">
        <f>SQRT(SUM(AF31:AH31))</f>
        <v>0.20651121595675162</v>
      </c>
      <c r="AJ31">
        <f>ROUND(AI31, 3)</f>
        <v>0.20699999999999999</v>
      </c>
    </row>
    <row r="32" spans="1:36" x14ac:dyDescent="0.2">
      <c r="A32" s="63"/>
      <c r="B32" s="63" t="s">
        <v>66</v>
      </c>
      <c r="C32" s="56" t="str">
        <f>_xlfn.CONCAT("$", H63, "\pm ", AJ33, "$")</f>
        <v>$0.373\pm 0.012$</v>
      </c>
      <c r="D32" s="41" t="str">
        <f>_xlfn.CONCAT("$", W31, "\pm ", W32, "$")</f>
        <v>$0.235\pm 0.005$</v>
      </c>
      <c r="T32" t="s">
        <v>96</v>
      </c>
      <c r="U32">
        <f>ROUND(AA39, 3)</f>
        <v>3.0000000000000001E-3</v>
      </c>
      <c r="V32">
        <f>ROUND(AA40, 3)</f>
        <v>4.0000000000000001E-3</v>
      </c>
      <c r="W32">
        <f>ROUND(AA41, 3)</f>
        <v>5.0000000000000001E-3</v>
      </c>
      <c r="X32">
        <f>ROUND(AA42, 3)</f>
        <v>4.0000000000000001E-3</v>
      </c>
      <c r="Y32">
        <f>ROUND(AA43, 3)</f>
        <v>1E-3</v>
      </c>
      <c r="AC32">
        <v>8.9644539999999995E-2</v>
      </c>
      <c r="AD32">
        <v>4.3057350000000001E-2</v>
      </c>
      <c r="AE32">
        <v>3.0683760000000001E-2</v>
      </c>
      <c r="AF32">
        <f t="shared" ref="AF32:AF35" si="15">AC32^2</f>
        <v>8.036143551811599E-3</v>
      </c>
      <c r="AG32">
        <f t="shared" ref="AG32:AG35" si="16">AD32^2</f>
        <v>1.8539353890225001E-3</v>
      </c>
      <c r="AH32">
        <f t="shared" ref="AH32:AH35" si="17">AE32^2</f>
        <v>9.4149312773760007E-4</v>
      </c>
      <c r="AI32">
        <f t="shared" ref="AI32:AI35" si="18">SQRT(SUM(AF32:AH32))</f>
        <v>0.1040748387871521</v>
      </c>
      <c r="AJ32">
        <f t="shared" ref="AJ32:AJ35" si="19">ROUND(AI32, 3)</f>
        <v>0.104</v>
      </c>
    </row>
    <row r="33" spans="1:36" x14ac:dyDescent="0.2">
      <c r="A33" s="63"/>
      <c r="B33" s="63"/>
      <c r="C33" s="5" t="str">
        <f>L70</f>
        <v>$(=0.203+0.057+0.113)$</v>
      </c>
      <c r="D33" s="5" t="str">
        <f>L28</f>
        <v>$(=0.093+0.063+0.079)$</v>
      </c>
      <c r="AC33">
        <v>8.9449799999999999E-3</v>
      </c>
      <c r="AD33">
        <v>3.6045999999999999E-3</v>
      </c>
      <c r="AE33">
        <v>6.3201999999999998E-3</v>
      </c>
      <c r="AF33">
        <f t="shared" si="15"/>
        <v>8.0012667200399996E-5</v>
      </c>
      <c r="AG33">
        <f t="shared" si="16"/>
        <v>1.2993141159999999E-5</v>
      </c>
      <c r="AH33">
        <f t="shared" si="17"/>
        <v>3.994492804E-5</v>
      </c>
      <c r="AI33">
        <f t="shared" si="18"/>
        <v>1.1530426548935647E-2</v>
      </c>
      <c r="AJ33">
        <f t="shared" si="19"/>
        <v>1.2E-2</v>
      </c>
    </row>
    <row r="34" spans="1:36" ht="17" x14ac:dyDescent="0.2">
      <c r="A34" s="64"/>
      <c r="B34" s="42" t="s">
        <v>67</v>
      </c>
      <c r="C34" s="65" t="str">
        <f>_xlfn.CONCAT("$ \times ", G77, "$")</f>
        <v>$ \times 0.831$</v>
      </c>
      <c r="D34" s="66" t="str">
        <f>_xlfn.CONCAT("$ \times ", W35, "$")</f>
        <v>$ \times 0.41$</v>
      </c>
      <c r="U34">
        <f>U23 / U30</f>
        <v>0.6430213143897594</v>
      </c>
      <c r="V34">
        <f t="shared" ref="V34:X34" si="20">V23 / V30</f>
        <v>0.53551159832556183</v>
      </c>
      <c r="W34">
        <f t="shared" si="20"/>
        <v>0.40631054526502758</v>
      </c>
      <c r="X34">
        <f t="shared" si="20"/>
        <v>0.57526162368298539</v>
      </c>
      <c r="Y34">
        <f>Y23 / Y30</f>
        <v>1.0084762902596875</v>
      </c>
      <c r="AC34">
        <v>3.43707E-3</v>
      </c>
      <c r="AD34">
        <v>4.6133700000000003E-3</v>
      </c>
      <c r="AF34">
        <f t="shared" si="15"/>
        <v>1.1813450184899999E-5</v>
      </c>
      <c r="AG34">
        <f t="shared" si="16"/>
        <v>2.1283182756900002E-5</v>
      </c>
      <c r="AH34">
        <f t="shared" si="17"/>
        <v>0</v>
      </c>
      <c r="AI34">
        <f t="shared" si="18"/>
        <v>5.7529673162464608E-3</v>
      </c>
      <c r="AJ34">
        <f t="shared" si="19"/>
        <v>6.0000000000000001E-3</v>
      </c>
    </row>
    <row r="35" spans="1:36" x14ac:dyDescent="0.2">
      <c r="A35" s="61" t="s">
        <v>42</v>
      </c>
      <c r="B35" s="56" t="s">
        <v>65</v>
      </c>
      <c r="C35" s="16" t="str">
        <f>_xlfn.CONCAT("$", P63, "\pm ", P65, "$")</f>
        <v>$0.11\pm 0.014$</v>
      </c>
      <c r="D35" s="62" t="str">
        <f>_xlfn.CONCAT("$", X24, "\pm ", X26, "$")</f>
        <v>$0.078\pm 0.002$</v>
      </c>
      <c r="U35">
        <f>ROUND(U34, 2)</f>
        <v>0.64</v>
      </c>
      <c r="V35">
        <f t="shared" ref="V35:Y35" si="21">ROUND(V34, 2)</f>
        <v>0.54</v>
      </c>
      <c r="W35">
        <f t="shared" si="21"/>
        <v>0.41</v>
      </c>
      <c r="X35">
        <f t="shared" si="21"/>
        <v>0.57999999999999996</v>
      </c>
      <c r="Y35">
        <f t="shared" si="21"/>
        <v>1.01</v>
      </c>
      <c r="AC35">
        <v>4.1385800000000002E-3</v>
      </c>
      <c r="AF35">
        <f t="shared" si="15"/>
        <v>1.71278444164E-5</v>
      </c>
      <c r="AG35">
        <f t="shared" si="16"/>
        <v>0</v>
      </c>
      <c r="AH35">
        <f t="shared" si="17"/>
        <v>0</v>
      </c>
      <c r="AI35">
        <f t="shared" si="18"/>
        <v>4.1385800000000002E-3</v>
      </c>
      <c r="AJ35">
        <f t="shared" si="19"/>
        <v>4.0000000000000001E-3</v>
      </c>
    </row>
    <row r="36" spans="1:36" x14ac:dyDescent="0.2">
      <c r="A36" s="63"/>
      <c r="B36" s="63" t="s">
        <v>66</v>
      </c>
      <c r="C36" s="56" t="str">
        <f>_xlfn.CONCAT("$", I63, "\pm ", AJ34, "$")</f>
        <v>$0.132\pm 0.006$</v>
      </c>
      <c r="D36" s="41" t="str">
        <f>_xlfn.CONCAT("$", X31, "\pm ", X32, "$")</f>
        <v>$0.135\pm 0.004$</v>
      </c>
    </row>
    <row r="37" spans="1:36" x14ac:dyDescent="0.2">
      <c r="A37" s="63"/>
      <c r="B37" s="63"/>
      <c r="C37" s="5" t="str">
        <f>L71</f>
        <v>$(=0.057+0.075)$</v>
      </c>
      <c r="D37" s="68" t="str">
        <f>L29</f>
        <v>$(=0.061+0.074)$</v>
      </c>
    </row>
    <row r="38" spans="1:36" ht="17" x14ac:dyDescent="0.2">
      <c r="A38" s="64"/>
      <c r="B38" s="47" t="s">
        <v>67</v>
      </c>
      <c r="C38" s="65" t="str">
        <f>_xlfn.CONCAT("$ \times ", G78, "$")</f>
        <v>$ \times 0.833$</v>
      </c>
      <c r="D38" s="66" t="str">
        <f>_xlfn.CONCAT("$ \times ", X35, "$")</f>
        <v>$ \times 0.58$</v>
      </c>
    </row>
    <row r="39" spans="1:36" x14ac:dyDescent="0.2">
      <c r="A39" s="61" t="s">
        <v>62</v>
      </c>
      <c r="B39" s="16" t="s">
        <v>65</v>
      </c>
      <c r="C39" s="16" t="str">
        <f>_xlfn.CONCAT("$", Q63, "\pm ", Q65, "$")</f>
        <v>$0.112\pm 0.006$</v>
      </c>
      <c r="D39" s="62" t="str">
        <f>_xlfn.CONCAT("$", Y24, "\pm ", Y26, "$")</f>
        <v>$0.08\pm 0.003$</v>
      </c>
      <c r="U39">
        <v>1.4653299999999999E-3</v>
      </c>
      <c r="V39">
        <v>2.20988E-3</v>
      </c>
      <c r="X39">
        <f>U39^2</f>
        <v>2.1471920088999998E-6</v>
      </c>
      <c r="Y39">
        <f t="shared" ref="Y39:Z39" si="22">V39^2</f>
        <v>4.8835696143999997E-6</v>
      </c>
      <c r="Z39">
        <f t="shared" si="22"/>
        <v>0</v>
      </c>
      <c r="AA39">
        <f>SQRT(SUM(X39:Z39))</f>
        <v>2.6515583386567229E-3</v>
      </c>
    </row>
    <row r="40" spans="1:36" x14ac:dyDescent="0.2">
      <c r="A40" s="63"/>
      <c r="B40" s="63" t="s">
        <v>66</v>
      </c>
      <c r="C40" s="56" t="str">
        <f>_xlfn.CONCAT("$", J63, "\pm ", AJ35, "$")</f>
        <v>$0.105\pm 0.004$</v>
      </c>
      <c r="D40" s="41" t="str">
        <f>_xlfn.CONCAT("$", Y31, "\pm ", Y32, "$")</f>
        <v>$0.079\pm 0.001$</v>
      </c>
      <c r="U40">
        <v>1.5143999999999999E-3</v>
      </c>
      <c r="V40">
        <v>1.81504E-3</v>
      </c>
      <c r="W40">
        <v>2.6350499999999999E-3</v>
      </c>
      <c r="X40">
        <f t="shared" ref="X40:X43" si="23">U40^2</f>
        <v>2.2934073599999999E-6</v>
      </c>
      <c r="Y40">
        <f t="shared" ref="Y40:Y43" si="24">V40^2</f>
        <v>3.2943702016E-6</v>
      </c>
      <c r="Z40">
        <f t="shared" ref="Z40:Z43" si="25">W40^2</f>
        <v>6.9434885024999998E-6</v>
      </c>
      <c r="AA40">
        <f t="shared" ref="AA40:AA43" si="26">SQRT(SUM(X40:Z40))</f>
        <v>3.5399528335982103E-3</v>
      </c>
    </row>
    <row r="41" spans="1:36" x14ac:dyDescent="0.2">
      <c r="A41" s="63"/>
      <c r="B41" s="63"/>
      <c r="C41" s="5"/>
      <c r="D41" s="5"/>
      <c r="U41">
        <v>2.7297599999999999E-3</v>
      </c>
      <c r="V41">
        <v>2.9307000000000001E-3</v>
      </c>
      <c r="W41">
        <v>3.40734E-3</v>
      </c>
      <c r="X41">
        <f t="shared" si="23"/>
        <v>7.4515896575999992E-6</v>
      </c>
      <c r="Y41">
        <f t="shared" si="24"/>
        <v>8.5890024900000006E-6</v>
      </c>
      <c r="Z41">
        <f t="shared" si="25"/>
        <v>1.1609965875600001E-5</v>
      </c>
      <c r="AA41">
        <f t="shared" si="26"/>
        <v>5.2583797906959892E-3</v>
      </c>
    </row>
    <row r="42" spans="1:36" ht="17" x14ac:dyDescent="0.2">
      <c r="A42" s="64"/>
      <c r="B42" s="47" t="s">
        <v>67</v>
      </c>
      <c r="C42" s="65" t="str">
        <f>_xlfn.CONCAT("$ \times ", G79, "$")</f>
        <v>$ \times 1.067$</v>
      </c>
      <c r="D42" s="66" t="str">
        <f>_xlfn.CONCAT("$ \times ", Y35, "$")</f>
        <v>$ \times 1.01$</v>
      </c>
      <c r="F42">
        <v>0.55200000000000005</v>
      </c>
      <c r="G42">
        <v>8.0000000000000002E-3</v>
      </c>
      <c r="U42">
        <v>2.3114300000000002E-3</v>
      </c>
      <c r="V42">
        <v>2.8907400000000001E-3</v>
      </c>
      <c r="X42">
        <f t="shared" si="23"/>
        <v>5.3427086449000006E-6</v>
      </c>
      <c r="Y42">
        <f t="shared" si="24"/>
        <v>8.3563777476000009E-6</v>
      </c>
      <c r="Z42">
        <f t="shared" si="25"/>
        <v>0</v>
      </c>
      <c r="AA42">
        <f t="shared" si="26"/>
        <v>3.7012276872005591E-3</v>
      </c>
    </row>
    <row r="43" spans="1:36" x14ac:dyDescent="0.2">
      <c r="A43" s="69" t="s">
        <v>45</v>
      </c>
      <c r="B43" s="16" t="s">
        <v>65</v>
      </c>
      <c r="C43" s="16" t="s">
        <v>97</v>
      </c>
      <c r="D43" s="62" t="str">
        <f>_xlfn.CONCAT("$", F42, "\pm ", G42, "$")</f>
        <v>$0.552\pm 0.008$</v>
      </c>
      <c r="F43">
        <v>0.96399999999999997</v>
      </c>
      <c r="G43">
        <v>7.0000000000000001E-3</v>
      </c>
      <c r="U43">
        <v>1.3570399999999999E-3</v>
      </c>
      <c r="X43">
        <f t="shared" si="23"/>
        <v>1.8415575615999998E-6</v>
      </c>
      <c r="Y43">
        <f t="shared" si="24"/>
        <v>0</v>
      </c>
      <c r="Z43">
        <f t="shared" si="25"/>
        <v>0</v>
      </c>
      <c r="AA43">
        <f t="shared" si="26"/>
        <v>1.3570399999999999E-3</v>
      </c>
    </row>
    <row r="44" spans="1:36" x14ac:dyDescent="0.2">
      <c r="A44" s="70"/>
      <c r="B44" s="71" t="s">
        <v>66</v>
      </c>
      <c r="C44" s="56" t="s">
        <v>98</v>
      </c>
      <c r="D44" s="62" t="str">
        <f>_xlfn.CONCAT("$", F43, "\pm ", G43, "$")</f>
        <v>$0.964\pm 0.007$</v>
      </c>
    </row>
    <row r="45" spans="1:36" x14ac:dyDescent="0.2">
      <c r="A45" s="72"/>
      <c r="B45" s="42" t="s">
        <v>67</v>
      </c>
      <c r="C45" s="73" t="s">
        <v>99</v>
      </c>
      <c r="D45" s="67" t="s">
        <v>101</v>
      </c>
      <c r="F45">
        <f>F42/F43</f>
        <v>0.5726141078838175</v>
      </c>
    </row>
    <row r="62" spans="5:17" x14ac:dyDescent="0.2">
      <c r="F62">
        <v>12.27374302</v>
      </c>
      <c r="G62">
        <v>4.1824635900000002</v>
      </c>
      <c r="H62">
        <v>0.37250369</v>
      </c>
      <c r="I62">
        <v>0.13152117999999999</v>
      </c>
      <c r="J62">
        <v>0.10455033</v>
      </c>
      <c r="M62">
        <v>7.08515374</v>
      </c>
      <c r="N62">
        <v>2.27939852</v>
      </c>
      <c r="O62">
        <v>0.30971882000000001</v>
      </c>
      <c r="P62">
        <v>0.10975658000000001</v>
      </c>
      <c r="Q62">
        <v>0.11217275</v>
      </c>
    </row>
    <row r="63" spans="5:17" x14ac:dyDescent="0.2">
      <c r="E63" t="s">
        <v>81</v>
      </c>
      <c r="F63">
        <f>ROUND(F62, 3)</f>
        <v>12.273999999999999</v>
      </c>
      <c r="G63">
        <f t="shared" ref="G63:J63" si="27">ROUND(G62, 3)</f>
        <v>4.1820000000000004</v>
      </c>
      <c r="H63">
        <f t="shared" si="27"/>
        <v>0.373</v>
      </c>
      <c r="I63">
        <f t="shared" si="27"/>
        <v>0.13200000000000001</v>
      </c>
      <c r="J63">
        <f t="shared" si="27"/>
        <v>0.105</v>
      </c>
      <c r="L63" t="s">
        <v>95</v>
      </c>
      <c r="M63">
        <f xml:space="preserve"> ROUND(M62, 3)</f>
        <v>7.085</v>
      </c>
      <c r="N63">
        <f t="shared" ref="N63:Q63" si="28" xml:space="preserve"> ROUND(N62, 3)</f>
        <v>2.2789999999999999</v>
      </c>
      <c r="O63">
        <f t="shared" si="28"/>
        <v>0.31</v>
      </c>
      <c r="P63">
        <f t="shared" si="28"/>
        <v>0.11</v>
      </c>
      <c r="Q63">
        <f t="shared" si="28"/>
        <v>0.112</v>
      </c>
    </row>
    <row r="64" spans="5:17" x14ac:dyDescent="0.2">
      <c r="E64" t="s">
        <v>96</v>
      </c>
      <c r="L64" t="s">
        <v>96</v>
      </c>
      <c r="M64">
        <v>1.34655591</v>
      </c>
      <c r="N64">
        <v>7.4279490000000004E-2</v>
      </c>
      <c r="O64">
        <v>6.6798040000000003E-2</v>
      </c>
      <c r="P64">
        <v>1.4103579999999999E-2</v>
      </c>
      <c r="Q64">
        <v>5.6625099999999999E-3</v>
      </c>
    </row>
    <row r="65" spans="6:17" x14ac:dyDescent="0.2">
      <c r="M65">
        <f>ROUND(M64, 3)</f>
        <v>1.347</v>
      </c>
      <c r="N65">
        <f t="shared" ref="N65:Q65" si="29">ROUND(N64, 3)</f>
        <v>7.3999999999999996E-2</v>
      </c>
      <c r="O65">
        <f t="shared" si="29"/>
        <v>6.7000000000000004E-2</v>
      </c>
      <c r="P65">
        <f t="shared" si="29"/>
        <v>1.4E-2</v>
      </c>
      <c r="Q65">
        <f t="shared" si="29"/>
        <v>6.0000000000000001E-3</v>
      </c>
    </row>
    <row r="68" spans="6:17" x14ac:dyDescent="0.2">
      <c r="F68">
        <v>3.42191081</v>
      </c>
      <c r="G68">
        <v>8.8518322099999995</v>
      </c>
      <c r="I68">
        <f>ROUND(F68, 3)</f>
        <v>3.4220000000000002</v>
      </c>
      <c r="J68">
        <f t="shared" ref="J68:K68" si="30">ROUND(G68, 3)</f>
        <v>8.8520000000000003</v>
      </c>
      <c r="K68">
        <f t="shared" si="30"/>
        <v>0</v>
      </c>
      <c r="L68" t="str">
        <f>_xlfn.CONCAT("$(=", I68, "+", J68,")$")</f>
        <v>$(=3.422+8.852)$</v>
      </c>
    </row>
    <row r="69" spans="6:17" x14ac:dyDescent="0.2">
      <c r="F69">
        <v>1.40094593</v>
      </c>
      <c r="G69">
        <v>0.87600493999999995</v>
      </c>
      <c r="H69">
        <v>1.9055127199999999</v>
      </c>
      <c r="I69">
        <f t="shared" ref="I69:I72" si="31">ROUND(F69, 3)</f>
        <v>1.401</v>
      </c>
      <c r="J69">
        <f t="shared" ref="J69:J72" si="32">ROUND(G69, 3)</f>
        <v>0.876</v>
      </c>
      <c r="K69">
        <f t="shared" ref="K69:K72" si="33">ROUND(H69, 3)</f>
        <v>1.9059999999999999</v>
      </c>
      <c r="L69" t="str">
        <f t="shared" ref="L69:L72" si="34">_xlfn.CONCAT("$(=", I69, "+", J69, "+", K69,")$")</f>
        <v>$(=1.401+0.876+1.906)$</v>
      </c>
    </row>
    <row r="70" spans="6:17" x14ac:dyDescent="0.2">
      <c r="F70">
        <v>0.20273437</v>
      </c>
      <c r="G70">
        <v>5.710349E-2</v>
      </c>
      <c r="H70">
        <v>0.11266582999999999</v>
      </c>
      <c r="I70">
        <f t="shared" si="31"/>
        <v>0.20300000000000001</v>
      </c>
      <c r="J70">
        <f t="shared" si="32"/>
        <v>5.7000000000000002E-2</v>
      </c>
      <c r="K70">
        <f t="shared" si="33"/>
        <v>0.113</v>
      </c>
      <c r="L70" t="str">
        <f t="shared" si="34"/>
        <v>$(=0.203+0.057+0.113)$</v>
      </c>
    </row>
    <row r="71" spans="6:17" x14ac:dyDescent="0.2">
      <c r="F71">
        <v>5.6623420000000001E-2</v>
      </c>
      <c r="G71">
        <v>7.4897770000000002E-2</v>
      </c>
      <c r="I71">
        <f t="shared" si="31"/>
        <v>5.7000000000000002E-2</v>
      </c>
      <c r="J71">
        <f t="shared" si="32"/>
        <v>7.4999999999999997E-2</v>
      </c>
      <c r="K71">
        <f t="shared" si="33"/>
        <v>0</v>
      </c>
      <c r="L71" t="str">
        <f>_xlfn.CONCAT("$(=", I71, "+", J71,")$")</f>
        <v>$(=0.057+0.075)$</v>
      </c>
    </row>
    <row r="72" spans="6:17" x14ac:dyDescent="0.2">
      <c r="F72">
        <v>0.10455033</v>
      </c>
      <c r="I72">
        <f t="shared" si="31"/>
        <v>0.105</v>
      </c>
      <c r="J72">
        <f t="shared" si="32"/>
        <v>0</v>
      </c>
      <c r="K72">
        <f t="shared" si="33"/>
        <v>0</v>
      </c>
      <c r="L72" t="str">
        <f>_xlfn.CONCAT("$(=", I72,")$")</f>
        <v>$(=0.105)$</v>
      </c>
    </row>
    <row r="75" spans="6:17" x14ac:dyDescent="0.2">
      <c r="F75">
        <f>M62/F63</f>
        <v>0.57724896040410623</v>
      </c>
      <c r="G75">
        <f>ROUND(F75, 3)</f>
        <v>0.57699999999999996</v>
      </c>
    </row>
    <row r="76" spans="6:17" x14ac:dyDescent="0.2">
      <c r="F76">
        <f>N63/G63</f>
        <v>0.54495456719273072</v>
      </c>
      <c r="G76">
        <f t="shared" ref="G76:G79" si="35">ROUND(F76, 3)</f>
        <v>0.54500000000000004</v>
      </c>
    </row>
    <row r="77" spans="6:17" x14ac:dyDescent="0.2">
      <c r="F77">
        <f>O63/H63</f>
        <v>0.83109919571045576</v>
      </c>
      <c r="G77">
        <f t="shared" si="35"/>
        <v>0.83099999999999996</v>
      </c>
    </row>
    <row r="78" spans="6:17" x14ac:dyDescent="0.2">
      <c r="F78">
        <f>P63/I63</f>
        <v>0.83333333333333326</v>
      </c>
      <c r="G78">
        <f t="shared" si="35"/>
        <v>0.83299999999999996</v>
      </c>
    </row>
    <row r="79" spans="6:17" x14ac:dyDescent="0.2">
      <c r="F79">
        <f>Q63/J63</f>
        <v>1.0666666666666667</v>
      </c>
      <c r="G79">
        <f t="shared" si="35"/>
        <v>1.0669999999999999</v>
      </c>
    </row>
  </sheetData>
  <mergeCells count="18">
    <mergeCell ref="A31:A34"/>
    <mergeCell ref="B32:B33"/>
    <mergeCell ref="A35:A38"/>
    <mergeCell ref="B36:B37"/>
    <mergeCell ref="A39:A42"/>
    <mergeCell ref="B40:B41"/>
    <mergeCell ref="A17:A19"/>
    <mergeCell ref="A22:B22"/>
    <mergeCell ref="A23:A26"/>
    <mergeCell ref="B24:B25"/>
    <mergeCell ref="A27:A30"/>
    <mergeCell ref="B28:B29"/>
    <mergeCell ref="A2:A4"/>
    <mergeCell ref="A1:B1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7789-D2DF-CF44-83FC-115C72FD1B9C}">
  <dimension ref="A1:AC76"/>
  <sheetViews>
    <sheetView topLeftCell="A19" zoomScale="120" zoomScaleNormal="120" workbookViewId="0">
      <selection activeCell="D42" sqref="D42"/>
    </sheetView>
  </sheetViews>
  <sheetFormatPr baseColWidth="10" defaultRowHeight="16" x14ac:dyDescent="0.2"/>
  <cols>
    <col min="1" max="1" width="8.1640625" customWidth="1"/>
    <col min="2" max="2" width="19.83203125" customWidth="1"/>
    <col min="3" max="3" width="24.6640625" customWidth="1"/>
    <col min="4" max="4" width="18.83203125" customWidth="1"/>
    <col min="5" max="5" width="20.5" customWidth="1"/>
    <col min="6" max="6" width="27.33203125" customWidth="1"/>
    <col min="7" max="7" width="19" customWidth="1"/>
    <col min="8" max="8" width="19.6640625" customWidth="1"/>
    <col min="9" max="9" width="23.6640625" customWidth="1"/>
    <col min="10" max="10" width="19.5" customWidth="1"/>
    <col min="11" max="11" width="13.6640625" customWidth="1"/>
    <col min="13" max="13" width="30.6640625" customWidth="1"/>
  </cols>
  <sheetData>
    <row r="1" spans="1:13" ht="17" x14ac:dyDescent="0.2">
      <c r="A1" s="54" t="s">
        <v>38</v>
      </c>
      <c r="B1" s="55"/>
      <c r="C1" s="27" t="s">
        <v>43</v>
      </c>
      <c r="D1" s="27" t="s">
        <v>63</v>
      </c>
      <c r="E1" s="27" t="s">
        <v>68</v>
      </c>
      <c r="F1" s="27" t="s">
        <v>1</v>
      </c>
    </row>
    <row r="2" spans="1:13" x14ac:dyDescent="0.2">
      <c r="A2" s="34" t="s">
        <v>39</v>
      </c>
      <c r="B2" s="10" t="s">
        <v>65</v>
      </c>
      <c r="C2" s="10">
        <v>4</v>
      </c>
      <c r="D2" s="10">
        <v>6</v>
      </c>
      <c r="E2" s="10">
        <v>14.52</v>
      </c>
      <c r="F2" s="48" t="s">
        <v>56</v>
      </c>
    </row>
    <row r="3" spans="1:13" ht="17" x14ac:dyDescent="0.2">
      <c r="A3" s="35"/>
      <c r="B3" s="44" t="s">
        <v>66</v>
      </c>
      <c r="C3" s="12">
        <v>2</v>
      </c>
      <c r="D3" s="12">
        <v>2</v>
      </c>
      <c r="E3" s="24">
        <v>2.4500000000000002</v>
      </c>
      <c r="F3" s="1" t="str">
        <f>_xlfn.CONCAT(G3,H3)</f>
        <v>2618.6M $(=7.5+2600.9+10.2)$</v>
      </c>
      <c r="G3" s="53" t="s">
        <v>71</v>
      </c>
      <c r="H3" s="36" t="str">
        <f>M5</f>
        <v>$(=7.5+2600.9+10.2)$</v>
      </c>
      <c r="J3">
        <v>7526400</v>
      </c>
      <c r="K3">
        <v>2600908800</v>
      </c>
      <c r="L3">
        <v>10214400</v>
      </c>
    </row>
    <row r="4" spans="1:13" x14ac:dyDescent="0.2">
      <c r="A4" s="37"/>
      <c r="B4" s="42" t="s">
        <v>67</v>
      </c>
      <c r="C4" s="9"/>
      <c r="D4" s="9"/>
      <c r="E4" s="59" t="s">
        <v>51</v>
      </c>
      <c r="F4" s="58" t="s">
        <v>46</v>
      </c>
      <c r="J4" s="18">
        <f>J3/1000000</f>
        <v>7.5263999999999998</v>
      </c>
      <c r="K4" s="18">
        <f t="shared" ref="K4:L4" si="0">K3/1000000</f>
        <v>2600.9088000000002</v>
      </c>
      <c r="L4" s="18">
        <f t="shared" si="0"/>
        <v>10.214399999999999</v>
      </c>
    </row>
    <row r="5" spans="1:13" x14ac:dyDescent="0.2">
      <c r="A5" s="34" t="s">
        <v>40</v>
      </c>
      <c r="B5" s="10" t="s">
        <v>65</v>
      </c>
      <c r="C5" s="10">
        <v>6</v>
      </c>
      <c r="D5" s="10">
        <v>16</v>
      </c>
      <c r="E5" s="22">
        <v>58.1</v>
      </c>
      <c r="F5" s="48" t="s">
        <v>57</v>
      </c>
      <c r="J5" s="18">
        <f>ROUND(J4,1)</f>
        <v>7.5</v>
      </c>
      <c r="K5" s="18">
        <f t="shared" ref="K5:L5" si="1">ROUND(K4,1)</f>
        <v>2600.9</v>
      </c>
      <c r="L5" s="18">
        <f t="shared" si="1"/>
        <v>10.199999999999999</v>
      </c>
      <c r="M5" t="str">
        <f>_xlfn.CONCAT("$(=",J5,"+",K5,"+",L5,")$")</f>
        <v>$(=7.5+2600.9+10.2)$</v>
      </c>
    </row>
    <row r="6" spans="1:13" x14ac:dyDescent="0.2">
      <c r="A6" s="35"/>
      <c r="B6" s="44" t="s">
        <v>66</v>
      </c>
      <c r="C6" s="12">
        <v>2</v>
      </c>
      <c r="D6" s="12">
        <v>3</v>
      </c>
      <c r="E6" s="24">
        <f>(12+3663+48+16)/1000</f>
        <v>3.7389999999999999</v>
      </c>
      <c r="F6" s="1" t="str">
        <f>_xlfn.CONCAT(G6,H6)</f>
        <v>44.4M $(=0.4+43.5+0.5)$</v>
      </c>
      <c r="G6" s="52" t="s">
        <v>72</v>
      </c>
      <c r="H6" s="36" t="str">
        <f>M9</f>
        <v>$(=0.4+43.5+0.5)$</v>
      </c>
    </row>
    <row r="7" spans="1:13" x14ac:dyDescent="0.2">
      <c r="A7" s="37"/>
      <c r="B7" s="42" t="s">
        <v>67</v>
      </c>
      <c r="C7" s="9"/>
      <c r="D7" s="9"/>
      <c r="E7" s="8" t="s">
        <v>52</v>
      </c>
      <c r="F7" s="58" t="s">
        <v>47</v>
      </c>
      <c r="J7">
        <v>369600</v>
      </c>
      <c r="K7">
        <v>43542000</v>
      </c>
      <c r="L7">
        <v>486000</v>
      </c>
    </row>
    <row r="8" spans="1:13" x14ac:dyDescent="0.2">
      <c r="A8" s="34" t="s">
        <v>41</v>
      </c>
      <c r="B8" s="12" t="s">
        <v>65</v>
      </c>
      <c r="C8" s="12">
        <v>2800</v>
      </c>
      <c r="D8" s="12">
        <v>128</v>
      </c>
      <c r="E8" s="24">
        <f>(358400+128)/1000</f>
        <v>358.52800000000002</v>
      </c>
      <c r="F8" s="51" t="s">
        <v>58</v>
      </c>
      <c r="J8">
        <f>J7/1000000</f>
        <v>0.36959999999999998</v>
      </c>
      <c r="K8">
        <f t="shared" ref="K8:L8" si="2">K7/1000000</f>
        <v>43.542000000000002</v>
      </c>
      <c r="L8">
        <f t="shared" si="2"/>
        <v>0.48599999999999999</v>
      </c>
    </row>
    <row r="9" spans="1:13" x14ac:dyDescent="0.2">
      <c r="A9" s="35"/>
      <c r="B9" s="44" t="s">
        <v>66</v>
      </c>
      <c r="C9" s="12">
        <v>1</v>
      </c>
      <c r="D9" s="12">
        <v>1</v>
      </c>
      <c r="E9" s="24">
        <f>(2800+1+128+128)/1000</f>
        <v>3.0569999999999999</v>
      </c>
      <c r="F9" s="1" t="str">
        <f>_xlfn.CONCAT(G9,H9)</f>
        <v>5856$(=5599+1+256)$</v>
      </c>
      <c r="G9" s="49">
        <v>5856</v>
      </c>
      <c r="H9" s="36" t="str">
        <f>M12</f>
        <v>$(=5599+1+256)$</v>
      </c>
      <c r="J9">
        <f>ROUND(J8, 1)</f>
        <v>0.4</v>
      </c>
      <c r="K9">
        <f t="shared" ref="K9:L9" si="3">ROUND(K8, 1)</f>
        <v>43.5</v>
      </c>
      <c r="L9">
        <f t="shared" si="3"/>
        <v>0.5</v>
      </c>
      <c r="M9" t="str">
        <f>_xlfn.CONCAT("$(=",J9,"+",K9,"+",L9,")$")</f>
        <v>$(=0.4+43.5+0.5)$</v>
      </c>
    </row>
    <row r="10" spans="1:13" x14ac:dyDescent="0.2">
      <c r="A10" s="37"/>
      <c r="B10" s="42" t="s">
        <v>67</v>
      </c>
      <c r="C10" s="9"/>
      <c r="D10" s="9"/>
      <c r="E10" s="8" t="s">
        <v>53</v>
      </c>
      <c r="F10" s="57" t="s">
        <v>70</v>
      </c>
      <c r="J10">
        <v>5599</v>
      </c>
      <c r="K10">
        <v>1</v>
      </c>
      <c r="L10">
        <v>256</v>
      </c>
    </row>
    <row r="11" spans="1:13" x14ac:dyDescent="0.2">
      <c r="A11" s="34" t="s">
        <v>42</v>
      </c>
      <c r="B11" s="10" t="s">
        <v>65</v>
      </c>
      <c r="C11" s="10">
        <v>128</v>
      </c>
      <c r="D11" s="10">
        <v>84</v>
      </c>
      <c r="E11" s="22">
        <f>(10752+84)/1000</f>
        <v>10.836</v>
      </c>
      <c r="F11" s="50" t="s">
        <v>59</v>
      </c>
    </row>
    <row r="12" spans="1:13" x14ac:dyDescent="0.2">
      <c r="A12" s="35"/>
      <c r="B12" s="44" t="s">
        <v>66</v>
      </c>
      <c r="C12" s="12" t="s">
        <v>44</v>
      </c>
      <c r="D12" s="12">
        <v>1</v>
      </c>
      <c r="E12" s="12">
        <v>0.3</v>
      </c>
      <c r="F12" s="1" t="str">
        <f>_xlfn.CONCAT(G12,H12)</f>
        <v>423$(=255+168)$</v>
      </c>
      <c r="G12" s="49">
        <v>423</v>
      </c>
      <c r="H12" s="36" t="str">
        <f>M15</f>
        <v>$(=255+168)$</v>
      </c>
      <c r="M12" t="str">
        <f>_xlfn.CONCAT("$(=",J10,"+",K10,"+",L10,")$")</f>
        <v>$(=5599+1+256)$</v>
      </c>
    </row>
    <row r="13" spans="1:13" x14ac:dyDescent="0.2">
      <c r="A13" s="37"/>
      <c r="B13" s="47" t="s">
        <v>67</v>
      </c>
      <c r="C13" s="12"/>
      <c r="D13" s="12"/>
      <c r="E13" s="56" t="s">
        <v>55</v>
      </c>
      <c r="F13" s="57" t="s">
        <v>48</v>
      </c>
    </row>
    <row r="14" spans="1:13" x14ac:dyDescent="0.2">
      <c r="A14" s="34" t="s">
        <v>62</v>
      </c>
      <c r="B14" s="10" t="s">
        <v>65</v>
      </c>
      <c r="C14" s="10">
        <v>84</v>
      </c>
      <c r="D14" s="10">
        <v>10</v>
      </c>
      <c r="E14" s="10">
        <v>0.17</v>
      </c>
      <c r="F14" s="48">
        <v>336</v>
      </c>
      <c r="J14">
        <v>255</v>
      </c>
      <c r="K14">
        <v>168</v>
      </c>
    </row>
    <row r="15" spans="1:13" x14ac:dyDescent="0.2">
      <c r="A15" s="35"/>
      <c r="B15" s="44" t="s">
        <v>66</v>
      </c>
      <c r="C15" s="12" t="s">
        <v>44</v>
      </c>
      <c r="D15" s="12" t="s">
        <v>44</v>
      </c>
      <c r="E15" s="12">
        <v>0.17</v>
      </c>
      <c r="F15" s="49">
        <v>336</v>
      </c>
      <c r="M15" t="str">
        <f>_xlfn.CONCAT("$(=",J14,"+",K14,")$")</f>
        <v>$(=255+168)$</v>
      </c>
    </row>
    <row r="16" spans="1:13" x14ac:dyDescent="0.2">
      <c r="A16" s="37"/>
      <c r="B16" s="47" t="s">
        <v>67</v>
      </c>
      <c r="C16" s="47"/>
      <c r="D16" s="47"/>
      <c r="E16" s="56" t="s">
        <v>54</v>
      </c>
      <c r="F16" s="57" t="s">
        <v>49</v>
      </c>
    </row>
    <row r="17" spans="1:29" x14ac:dyDescent="0.2">
      <c r="A17" s="34" t="s">
        <v>45</v>
      </c>
      <c r="B17" s="10" t="s">
        <v>65</v>
      </c>
      <c r="C17" s="10"/>
      <c r="D17" s="10"/>
      <c r="E17" s="22">
        <f>E2+E5+E8+E11+E14</f>
        <v>442.15400000000005</v>
      </c>
      <c r="F17" s="50" t="s">
        <v>60</v>
      </c>
    </row>
    <row r="18" spans="1:29" x14ac:dyDescent="0.2">
      <c r="A18" s="35"/>
      <c r="B18" s="44" t="s">
        <v>66</v>
      </c>
      <c r="C18" s="12"/>
      <c r="D18" s="12"/>
      <c r="E18" s="24">
        <v>13.347</v>
      </c>
      <c r="F18" s="51" t="s">
        <v>61</v>
      </c>
      <c r="J18" s="22">
        <v>336</v>
      </c>
    </row>
    <row r="19" spans="1:29" x14ac:dyDescent="0.2">
      <c r="A19" s="37"/>
      <c r="B19" s="42" t="s">
        <v>67</v>
      </c>
      <c r="C19" s="9"/>
      <c r="D19" s="9"/>
      <c r="E19" s="60" t="s">
        <v>69</v>
      </c>
      <c r="F19" s="57" t="s">
        <v>50</v>
      </c>
    </row>
    <row r="23" spans="1:29" x14ac:dyDescent="0.2">
      <c r="A23" s="45" t="s">
        <v>38</v>
      </c>
      <c r="B23" s="46"/>
      <c r="C23" s="5" t="s">
        <v>2</v>
      </c>
      <c r="D23" s="5" t="s">
        <v>5</v>
      </c>
    </row>
    <row r="24" spans="1:29" x14ac:dyDescent="0.2">
      <c r="A24" s="61" t="s">
        <v>39</v>
      </c>
      <c r="B24" s="16" t="s">
        <v>65</v>
      </c>
      <c r="C24" s="16" t="str">
        <f>V30</f>
        <v>$3518.114\pm 21.41$</v>
      </c>
      <c r="D24" s="62" t="str">
        <f>F28</f>
        <v>$2.282\pm 0.064$</v>
      </c>
      <c r="F24" s="43">
        <v>2.2824183499999999</v>
      </c>
      <c r="G24" s="43">
        <v>0.134907361</v>
      </c>
      <c r="H24" s="43">
        <v>0.104656397</v>
      </c>
      <c r="I24" s="43">
        <v>109.633334</v>
      </c>
      <c r="J24" s="43">
        <v>0.84468568799999999</v>
      </c>
      <c r="V24" s="43">
        <v>3518.1142599999998</v>
      </c>
      <c r="W24" s="43">
        <v>75.644421800000003</v>
      </c>
      <c r="X24" s="43">
        <v>0.57029563699999997</v>
      </c>
      <c r="Y24" s="43">
        <v>0.11031709000000001</v>
      </c>
      <c r="Z24" s="43">
        <v>8.1195865000000006E-2</v>
      </c>
    </row>
    <row r="25" spans="1:29" x14ac:dyDescent="0.2">
      <c r="A25" s="63"/>
      <c r="B25" s="63" t="s">
        <v>66</v>
      </c>
      <c r="C25" s="56" t="str">
        <f>V35</f>
        <v>$2643.672\pm 120.653$</v>
      </c>
      <c r="D25" s="41" t="str">
        <f>F37</f>
        <v>$0.289\pm 0.005$</v>
      </c>
      <c r="F25">
        <v>6.365055E-2</v>
      </c>
      <c r="G25">
        <v>3.1853599999999999E-3</v>
      </c>
      <c r="H25">
        <v>2.68082E-3</v>
      </c>
      <c r="I25">
        <v>0.25383618000000002</v>
      </c>
      <c r="J25">
        <v>5.1281199999999999E-3</v>
      </c>
      <c r="V25" s="43">
        <v>21.4098021</v>
      </c>
      <c r="W25" s="43">
        <v>0.43919714300000001</v>
      </c>
      <c r="X25" s="43">
        <v>0.102347829</v>
      </c>
      <c r="Y25" s="43">
        <v>1.14736488E-2</v>
      </c>
      <c r="Z25" s="43">
        <v>9.1054706499999992E-3</v>
      </c>
    </row>
    <row r="26" spans="1:29" x14ac:dyDescent="0.2">
      <c r="A26" s="63"/>
      <c r="B26" s="63"/>
      <c r="C26" s="5" t="str">
        <f>P45</f>
        <v>$(=412.22+1697.69+533.77)$</v>
      </c>
      <c r="D26" s="5" t="str">
        <f>I51</f>
        <v>$(=0.09+0.07+0.13)$</v>
      </c>
      <c r="F26">
        <f>ROUND(F24, 3)</f>
        <v>2.282</v>
      </c>
      <c r="G26">
        <f t="shared" ref="G26:J26" si="4">ROUND(G24, 3)</f>
        <v>0.13500000000000001</v>
      </c>
      <c r="H26">
        <f t="shared" si="4"/>
        <v>0.105</v>
      </c>
      <c r="I26">
        <f t="shared" si="4"/>
        <v>109.633</v>
      </c>
      <c r="J26">
        <f t="shared" si="4"/>
        <v>0.84499999999999997</v>
      </c>
    </row>
    <row r="27" spans="1:29" ht="17" x14ac:dyDescent="0.2">
      <c r="A27" s="64"/>
      <c r="B27" s="42" t="s">
        <v>67</v>
      </c>
      <c r="C27" s="65" t="s">
        <v>75</v>
      </c>
      <c r="D27" s="66" t="s">
        <v>82</v>
      </c>
      <c r="F27">
        <f>ROUND(F25, 3)</f>
        <v>6.4000000000000001E-2</v>
      </c>
      <c r="G27">
        <f t="shared" ref="G27:J27" si="5">ROUND(G25, 3)</f>
        <v>3.0000000000000001E-3</v>
      </c>
      <c r="H27">
        <f t="shared" si="5"/>
        <v>3.0000000000000001E-3</v>
      </c>
      <c r="I27">
        <f t="shared" si="5"/>
        <v>0.254</v>
      </c>
      <c r="J27">
        <f t="shared" si="5"/>
        <v>5.0000000000000001E-3</v>
      </c>
      <c r="V27">
        <f>ROUND(V24, 3)</f>
        <v>3518.114</v>
      </c>
      <c r="W27">
        <f t="shared" ref="W27:Z27" si="6">ROUND(W24, 3)</f>
        <v>75.644000000000005</v>
      </c>
      <c r="X27">
        <f t="shared" si="6"/>
        <v>0.56999999999999995</v>
      </c>
      <c r="Y27">
        <f t="shared" si="6"/>
        <v>0.11</v>
      </c>
      <c r="Z27">
        <f t="shared" si="6"/>
        <v>8.1000000000000003E-2</v>
      </c>
    </row>
    <row r="28" spans="1:29" x14ac:dyDescent="0.2">
      <c r="A28" s="61" t="s">
        <v>40</v>
      </c>
      <c r="B28" s="16" t="s">
        <v>65</v>
      </c>
      <c r="C28" s="5" t="str">
        <f>W30</f>
        <v>$75.644\pm 0.439$</v>
      </c>
      <c r="D28" s="5" t="str">
        <f>G28</f>
        <v>$0.135\pm 0.003$</v>
      </c>
      <c r="F28" t="str">
        <f>_xlfn.CONCAT("$", F26, "\pm ", F27, "$")</f>
        <v>$2.282\pm 0.064$</v>
      </c>
      <c r="G28" t="str">
        <f t="shared" ref="G28:J28" si="7">_xlfn.CONCAT("$", G26, "\pm ", G27, "$")</f>
        <v>$0.135\pm 0.003$</v>
      </c>
      <c r="H28" t="str">
        <f t="shared" si="7"/>
        <v>$0.105\pm 0.003$</v>
      </c>
      <c r="I28" t="str">
        <f t="shared" si="7"/>
        <v>$109.633\pm 0.254$</v>
      </c>
      <c r="J28" t="str">
        <f t="shared" si="7"/>
        <v>$0.845\pm 0.005$</v>
      </c>
      <c r="V28">
        <f>ROUND(V25, 3)</f>
        <v>21.41</v>
      </c>
      <c r="W28">
        <f t="shared" ref="W28:Z28" si="8">ROUND(W25, 3)</f>
        <v>0.439</v>
      </c>
      <c r="X28">
        <f t="shared" si="8"/>
        <v>0.10199999999999999</v>
      </c>
      <c r="Y28">
        <f t="shared" si="8"/>
        <v>1.0999999999999999E-2</v>
      </c>
      <c r="Z28">
        <f t="shared" si="8"/>
        <v>8.9999999999999993E-3</v>
      </c>
    </row>
    <row r="29" spans="1:29" x14ac:dyDescent="0.2">
      <c r="A29" s="63"/>
      <c r="B29" s="63" t="s">
        <v>66</v>
      </c>
      <c r="C29" s="5" t="str">
        <f>W35</f>
        <v>$38.156\pm 0.544$</v>
      </c>
      <c r="D29" s="5" t="str">
        <f>G37</f>
        <v>$56.615\pm 0.176$</v>
      </c>
    </row>
    <row r="30" spans="1:29" x14ac:dyDescent="0.2">
      <c r="A30" s="63"/>
      <c r="B30" s="63"/>
      <c r="C30" s="5" t="str">
        <f>P46</f>
        <v>$(=9.26+22.89+6.01)$</v>
      </c>
      <c r="D30" s="5" t="str">
        <f>I52</f>
        <v>$(=0.07+0.07+56.47)$</v>
      </c>
      <c r="V30" t="str">
        <f>_xlfn.CONCAT("$", V27, "\pm ",V28, "$")</f>
        <v>$3518.114\pm 21.41$</v>
      </c>
      <c r="W30" t="str">
        <f t="shared" ref="W30:Z30" si="9">_xlfn.CONCAT("$", W27, "\pm ",W28, "$")</f>
        <v>$75.644\pm 0.439$</v>
      </c>
      <c r="X30" t="str">
        <f t="shared" si="9"/>
        <v>$0.57\pm 0.102$</v>
      </c>
      <c r="Y30" t="str">
        <f t="shared" si="9"/>
        <v>$0.11\pm 0.011$</v>
      </c>
      <c r="Z30" t="str">
        <f t="shared" si="9"/>
        <v>$0.081\pm 0.009$</v>
      </c>
    </row>
    <row r="31" spans="1:29" x14ac:dyDescent="0.2">
      <c r="A31" s="64"/>
      <c r="B31" s="47" t="s">
        <v>67</v>
      </c>
      <c r="C31" s="40" t="s">
        <v>76</v>
      </c>
      <c r="D31" s="5" t="s">
        <v>83</v>
      </c>
    </row>
    <row r="32" spans="1:29" x14ac:dyDescent="0.2">
      <c r="A32" s="61" t="s">
        <v>41</v>
      </c>
      <c r="B32" s="16" t="s">
        <v>65</v>
      </c>
      <c r="C32" s="16" t="str">
        <f>X30</f>
        <v>$0.57\pm 0.102$</v>
      </c>
      <c r="D32" s="62" t="str">
        <f>H28</f>
        <v>$0.105\pm 0.003$</v>
      </c>
      <c r="AB32">
        <f>(SUM(M62:O62))</f>
        <v>120.65261675586174</v>
      </c>
      <c r="AC32">
        <f>ROUND(AB32,3)</f>
        <v>120.65300000000001</v>
      </c>
    </row>
    <row r="33" spans="1:29" x14ac:dyDescent="0.2">
      <c r="A33" s="63"/>
      <c r="B33" s="63" t="s">
        <v>66</v>
      </c>
      <c r="C33" s="56" t="str">
        <f>X35</f>
        <v>$0.275\pm 0.018$</v>
      </c>
      <c r="D33" s="41" t="str">
        <f>H37</f>
        <v>$1.366\pm 0.029$</v>
      </c>
      <c r="E33" t="s">
        <v>81</v>
      </c>
      <c r="F33">
        <v>0.28902271000000002</v>
      </c>
      <c r="G33">
        <v>56.61488542</v>
      </c>
      <c r="H33">
        <v>1.3657616400000001</v>
      </c>
      <c r="I33">
        <v>0.1305772</v>
      </c>
      <c r="J33">
        <v>7.7594289999999996E-2</v>
      </c>
      <c r="V33" s="43">
        <v>2643.6723499999998</v>
      </c>
      <c r="W33" s="43">
        <v>38.156009599999997</v>
      </c>
      <c r="X33" s="43">
        <v>0.27494717600000002</v>
      </c>
      <c r="Y33" s="43">
        <v>8.8828751999999997E-2</v>
      </c>
      <c r="Z33" s="43">
        <v>7.8765792000000001E-2</v>
      </c>
      <c r="AB33">
        <f>SQRT(SUM(M63:O63))</f>
        <v>0.5437790321225815</v>
      </c>
      <c r="AC33">
        <f t="shared" ref="AC33:AC36" si="10">ROUND(AB33,3)</f>
        <v>0.54400000000000004</v>
      </c>
    </row>
    <row r="34" spans="1:29" x14ac:dyDescent="0.2">
      <c r="A34" s="63"/>
      <c r="B34" s="63"/>
      <c r="C34" s="5" t="str">
        <f>P47</f>
        <v>$(=0.16+0.04+0.07)$</v>
      </c>
      <c r="D34" s="5" t="str">
        <f>I53</f>
        <v>$(=0.56+0.73+0.08)$</v>
      </c>
      <c r="F34">
        <f>L72</f>
        <v>4.9106646068124019E-3</v>
      </c>
      <c r="G34">
        <f>L73</f>
        <v>0.17597773034874328</v>
      </c>
      <c r="H34">
        <f>L74</f>
        <v>2.9256220388989073E-2</v>
      </c>
      <c r="I34">
        <f>L75</f>
        <v>2.3484149831322402E-3</v>
      </c>
      <c r="J34">
        <f>L76</f>
        <v>2.2214399999999999E-3</v>
      </c>
      <c r="V34">
        <f>ROUND(V33,3)</f>
        <v>2643.672</v>
      </c>
      <c r="W34">
        <f t="shared" ref="W34:Z34" si="11">ROUND(W33,3)</f>
        <v>38.155999999999999</v>
      </c>
      <c r="X34">
        <f t="shared" si="11"/>
        <v>0.27500000000000002</v>
      </c>
      <c r="Y34">
        <f t="shared" si="11"/>
        <v>8.8999999999999996E-2</v>
      </c>
      <c r="Z34">
        <f t="shared" si="11"/>
        <v>7.9000000000000001E-2</v>
      </c>
      <c r="AB34">
        <f>SQRT(SUM(M64:O64))</f>
        <v>1.7993796536611595E-2</v>
      </c>
      <c r="AC34">
        <f t="shared" si="10"/>
        <v>1.7999999999999999E-2</v>
      </c>
    </row>
    <row r="35" spans="1:29" x14ac:dyDescent="0.2">
      <c r="A35" s="64"/>
      <c r="B35" s="42" t="s">
        <v>67</v>
      </c>
      <c r="C35" s="59" t="s">
        <v>77</v>
      </c>
      <c r="D35" s="67" t="s">
        <v>84</v>
      </c>
      <c r="F35">
        <f>ROUND(F33, 3)</f>
        <v>0.28899999999999998</v>
      </c>
      <c r="G35">
        <f t="shared" ref="G35:J35" si="12">ROUND(G33, 3)</f>
        <v>56.615000000000002</v>
      </c>
      <c r="H35">
        <f t="shared" si="12"/>
        <v>1.3660000000000001</v>
      </c>
      <c r="I35">
        <f t="shared" si="12"/>
        <v>0.13100000000000001</v>
      </c>
      <c r="J35">
        <f t="shared" si="12"/>
        <v>7.8E-2</v>
      </c>
      <c r="V35" t="str">
        <f>_xlfn.CONCAT("$",V34,"\pm ", AC32, "$")</f>
        <v>$2643.672\pm 120.653$</v>
      </c>
      <c r="W35" t="str">
        <f>_xlfn.CONCAT("$",W34,"\pm ", AC33, "$")</f>
        <v>$38.156\pm 0.544$</v>
      </c>
      <c r="X35" t="str">
        <f>_xlfn.CONCAT("$",X34,"\pm ", AC34, "$")</f>
        <v>$0.275\pm 0.018$</v>
      </c>
      <c r="Y35" t="str">
        <f>_xlfn.CONCAT("$",Y34,"\pm ", AC35, "$")</f>
        <v>$0.089\pm 0.007$</v>
      </c>
      <c r="Z35" t="str">
        <f>_xlfn.CONCAT("$",Z34,"\pm ", AC36, "$")</f>
        <v>$0.079\pm 0.068$</v>
      </c>
      <c r="AB35">
        <f>SQRT(SUM(M65:O65))</f>
        <v>6.6529803710596276E-3</v>
      </c>
      <c r="AC35">
        <f t="shared" si="10"/>
        <v>7.0000000000000001E-3</v>
      </c>
    </row>
    <row r="36" spans="1:29" x14ac:dyDescent="0.2">
      <c r="A36" s="61" t="s">
        <v>42</v>
      </c>
      <c r="B36" s="56" t="s">
        <v>65</v>
      </c>
      <c r="C36" s="56" t="str">
        <f>Y30</f>
        <v>$0.11\pm 0.011$</v>
      </c>
      <c r="D36" s="41" t="str">
        <f>I28</f>
        <v>$109.633\pm 0.254$</v>
      </c>
      <c r="F36">
        <f>ROUND(F34, 3)</f>
        <v>5.0000000000000001E-3</v>
      </c>
      <c r="G36">
        <f t="shared" ref="G36:J36" si="13">ROUND(G34, 3)</f>
        <v>0.17599999999999999</v>
      </c>
      <c r="H36">
        <f t="shared" si="13"/>
        <v>2.9000000000000001E-2</v>
      </c>
      <c r="I36">
        <f t="shared" si="13"/>
        <v>2E-3</v>
      </c>
      <c r="J36">
        <f t="shared" si="13"/>
        <v>2E-3</v>
      </c>
      <c r="AB36">
        <f>SQRT(SUM(M66:O66))</f>
        <v>6.8219010327034202E-2</v>
      </c>
      <c r="AC36">
        <f t="shared" si="10"/>
        <v>6.8000000000000005E-2</v>
      </c>
    </row>
    <row r="37" spans="1:29" x14ac:dyDescent="0.2">
      <c r="A37" s="63"/>
      <c r="B37" s="63" t="s">
        <v>66</v>
      </c>
      <c r="C37" s="56" t="str">
        <f>Y35</f>
        <v>$0.089\pm 0.007$</v>
      </c>
      <c r="D37" s="41" t="str">
        <f>I37</f>
        <v>$0.131\pm 0.002$</v>
      </c>
      <c r="F37" t="str">
        <f>_xlfn.CONCAT("$", F35, "\pm ", F36, "$")</f>
        <v>$0.289\pm 0.005$</v>
      </c>
      <c r="G37" t="str">
        <f t="shared" ref="G37:J37" si="14">_xlfn.CONCAT("$", G35, "\pm ", G36, "$")</f>
        <v>$56.615\pm 0.176$</v>
      </c>
      <c r="H37" t="str">
        <f t="shared" si="14"/>
        <v>$1.366\pm 0.029$</v>
      </c>
      <c r="I37" t="str">
        <f t="shared" si="14"/>
        <v>$0.131\pm 0.002$</v>
      </c>
      <c r="J37" t="str">
        <f t="shared" si="14"/>
        <v>$0.078\pm 0.002$</v>
      </c>
    </row>
    <row r="38" spans="1:29" x14ac:dyDescent="0.2">
      <c r="A38" s="63"/>
      <c r="B38" s="63"/>
      <c r="C38" s="5" t="str">
        <f>P48</f>
        <v>$(=0.04+0.05)$</v>
      </c>
      <c r="D38" s="68" t="str">
        <f>I54</f>
        <v>$(=0.06+0.07)$</v>
      </c>
    </row>
    <row r="39" spans="1:29" x14ac:dyDescent="0.2">
      <c r="A39" s="64"/>
      <c r="B39" s="47" t="s">
        <v>67</v>
      </c>
      <c r="C39" s="59" t="s">
        <v>78</v>
      </c>
      <c r="D39" s="67" t="s">
        <v>85</v>
      </c>
      <c r="M39" s="43">
        <v>412.21723600000001</v>
      </c>
      <c r="N39" s="43">
        <v>1697.6874299999999</v>
      </c>
      <c r="O39" s="43">
        <v>533.76768000000004</v>
      </c>
    </row>
    <row r="40" spans="1:29" x14ac:dyDescent="0.2">
      <c r="A40" s="61" t="s">
        <v>62</v>
      </c>
      <c r="B40" s="16" t="s">
        <v>65</v>
      </c>
      <c r="C40" s="5" t="str">
        <f>Z30</f>
        <v>$0.081\pm 0.009$</v>
      </c>
      <c r="D40" s="5" t="str">
        <f>J28</f>
        <v>$0.845\pm 0.005$</v>
      </c>
      <c r="M40" s="43">
        <v>9.2648983000000005</v>
      </c>
      <c r="N40" s="43">
        <v>22.8860223</v>
      </c>
      <c r="O40" s="43">
        <v>6.0050889999999999</v>
      </c>
    </row>
    <row r="41" spans="1:29" x14ac:dyDescent="0.2">
      <c r="A41" s="63"/>
      <c r="B41" s="63" t="s">
        <v>66</v>
      </c>
      <c r="C41" s="5" t="str">
        <f>Z35</f>
        <v>$0.079\pm 0.068$</v>
      </c>
      <c r="D41" s="5" t="str">
        <f>J37</f>
        <v>$0.078\pm 0.002$</v>
      </c>
      <c r="M41" s="43">
        <v>0.16027517399999999</v>
      </c>
      <c r="N41" s="43">
        <v>4.113522E-2</v>
      </c>
      <c r="O41" s="43">
        <v>7.3536781999999995E-2</v>
      </c>
    </row>
    <row r="42" spans="1:29" x14ac:dyDescent="0.2">
      <c r="A42" s="63"/>
      <c r="B42" s="63"/>
      <c r="C42" s="5"/>
      <c r="D42" s="5"/>
      <c r="M42" s="43">
        <v>4.0537574E-2</v>
      </c>
      <c r="N42" s="43">
        <v>4.8291177999999997E-2</v>
      </c>
      <c r="O42" s="43"/>
    </row>
    <row r="43" spans="1:29" x14ac:dyDescent="0.2">
      <c r="A43" s="64"/>
      <c r="B43" s="47" t="s">
        <v>67</v>
      </c>
      <c r="C43" s="40" t="s">
        <v>79</v>
      </c>
      <c r="D43" s="5" t="s">
        <v>86</v>
      </c>
      <c r="M43" s="43">
        <v>7.8765792000000001E-2</v>
      </c>
      <c r="N43" s="43"/>
      <c r="O43" s="43"/>
    </row>
    <row r="44" spans="1:29" x14ac:dyDescent="0.2">
      <c r="A44" s="69" t="s">
        <v>45</v>
      </c>
      <c r="B44" s="16" t="s">
        <v>65</v>
      </c>
      <c r="C44" s="16" t="s">
        <v>73</v>
      </c>
      <c r="D44" s="62" t="s">
        <v>87</v>
      </c>
      <c r="M44" s="43"/>
      <c r="N44" s="43"/>
      <c r="O44" s="43"/>
    </row>
    <row r="45" spans="1:29" x14ac:dyDescent="0.2">
      <c r="A45" s="70"/>
      <c r="B45" s="71" t="s">
        <v>66</v>
      </c>
      <c r="C45" s="56" t="s">
        <v>74</v>
      </c>
      <c r="D45" s="41" t="s">
        <v>88</v>
      </c>
      <c r="M45">
        <f>ROUND(M39, 2)</f>
        <v>412.22</v>
      </c>
      <c r="N45">
        <f t="shared" ref="N45:O45" si="15">ROUND(N39, 2)</f>
        <v>1697.69</v>
      </c>
      <c r="O45">
        <f t="shared" si="15"/>
        <v>533.77</v>
      </c>
      <c r="P45" t="str">
        <f>_xlfn.CONCAT("$(=",M45, "+", N45,"+", O45,")$")</f>
        <v>$(=412.22+1697.69+533.77)$</v>
      </c>
    </row>
    <row r="46" spans="1:29" x14ac:dyDescent="0.2">
      <c r="A46" s="72"/>
      <c r="B46" s="42" t="s">
        <v>67</v>
      </c>
      <c r="C46" s="73" t="s">
        <v>80</v>
      </c>
      <c r="D46" s="67" t="s">
        <v>89</v>
      </c>
      <c r="F46">
        <v>8.6675240000000001E-2</v>
      </c>
      <c r="G46">
        <v>7.163477E-2</v>
      </c>
      <c r="H46">
        <v>0.13071269999999999</v>
      </c>
      <c r="M46">
        <f t="shared" ref="M46:O49" si="16">ROUND(M40, 2)</f>
        <v>9.26</v>
      </c>
      <c r="N46">
        <f t="shared" si="16"/>
        <v>22.89</v>
      </c>
      <c r="O46">
        <f t="shared" si="16"/>
        <v>6.01</v>
      </c>
      <c r="P46" t="str">
        <f t="shared" ref="P46:P47" si="17">_xlfn.CONCAT("$(=",M46, "+", N46,"+", O46,")$")</f>
        <v>$(=9.26+22.89+6.01)$</v>
      </c>
    </row>
    <row r="47" spans="1:29" x14ac:dyDescent="0.2">
      <c r="F47">
        <v>7.185764E-2</v>
      </c>
      <c r="G47">
        <v>6.8122799999999997E-2</v>
      </c>
      <c r="H47">
        <v>56.474904989999999</v>
      </c>
      <c r="M47">
        <f t="shared" si="16"/>
        <v>0.16</v>
      </c>
      <c r="N47">
        <f t="shared" si="16"/>
        <v>0.04</v>
      </c>
      <c r="O47">
        <f t="shared" si="16"/>
        <v>7.0000000000000007E-2</v>
      </c>
      <c r="P47" t="str">
        <f t="shared" si="17"/>
        <v>$(=0.16+0.04+0.07)$</v>
      </c>
    </row>
    <row r="48" spans="1:29" x14ac:dyDescent="0.2">
      <c r="F48">
        <v>0.55539954999999996</v>
      </c>
      <c r="G48">
        <v>0.73115901000000005</v>
      </c>
      <c r="H48">
        <v>7.9203079999999995E-2</v>
      </c>
      <c r="M48">
        <f t="shared" si="16"/>
        <v>0.04</v>
      </c>
      <c r="N48">
        <f t="shared" si="16"/>
        <v>0.05</v>
      </c>
      <c r="P48" t="str">
        <f>_xlfn.CONCAT("$(=",M48, "+", N48,")$")</f>
        <v>$(=0.04+0.05)$</v>
      </c>
    </row>
    <row r="49" spans="6:15" x14ac:dyDescent="0.2">
      <c r="F49">
        <v>5.9307930000000002E-2</v>
      </c>
      <c r="G49">
        <v>7.1269269999999996E-2</v>
      </c>
      <c r="M49">
        <f t="shared" si="16"/>
        <v>0.08</v>
      </c>
    </row>
    <row r="50" spans="6:15" x14ac:dyDescent="0.2">
      <c r="F50">
        <v>7.7594289999999996E-2</v>
      </c>
    </row>
    <row r="51" spans="6:15" x14ac:dyDescent="0.2">
      <c r="F51">
        <f>ROUND(F46, 2)</f>
        <v>0.09</v>
      </c>
      <c r="G51">
        <f t="shared" ref="G51:H51" si="18">ROUND(G46, 2)</f>
        <v>7.0000000000000007E-2</v>
      </c>
      <c r="H51">
        <f t="shared" si="18"/>
        <v>0.13</v>
      </c>
      <c r="I51" t="str">
        <f>_xlfn.CONCAT("$(=", F51,"+", G51, "+", H51, ")$")</f>
        <v>$(=0.09+0.07+0.13)$</v>
      </c>
    </row>
    <row r="52" spans="6:15" x14ac:dyDescent="0.2">
      <c r="F52">
        <f t="shared" ref="F52:H55" si="19">ROUND(F47, 2)</f>
        <v>7.0000000000000007E-2</v>
      </c>
      <c r="G52">
        <f t="shared" si="19"/>
        <v>7.0000000000000007E-2</v>
      </c>
      <c r="H52">
        <f t="shared" si="19"/>
        <v>56.47</v>
      </c>
      <c r="I52" t="str">
        <f t="shared" ref="I52:I55" si="20">_xlfn.CONCAT("$(=", F52,"+", G52, "+", H52, ")$")</f>
        <v>$(=0.07+0.07+56.47)$</v>
      </c>
    </row>
    <row r="53" spans="6:15" x14ac:dyDescent="0.2">
      <c r="F53">
        <f t="shared" si="19"/>
        <v>0.56000000000000005</v>
      </c>
      <c r="G53">
        <f t="shared" si="19"/>
        <v>0.73</v>
      </c>
      <c r="H53">
        <f t="shared" si="19"/>
        <v>0.08</v>
      </c>
      <c r="I53" t="str">
        <f t="shared" si="20"/>
        <v>$(=0.56+0.73+0.08)$</v>
      </c>
    </row>
    <row r="54" spans="6:15" x14ac:dyDescent="0.2">
      <c r="F54">
        <f t="shared" si="19"/>
        <v>0.06</v>
      </c>
      <c r="G54">
        <f t="shared" si="19"/>
        <v>7.0000000000000007E-2</v>
      </c>
      <c r="H54">
        <f t="shared" si="19"/>
        <v>0</v>
      </c>
      <c r="I54" t="str">
        <f>_xlfn.CONCAT("$(=", F54,"+", G54, ")$")</f>
        <v>$(=0.06+0.07)$</v>
      </c>
      <c r="M54" s="43">
        <v>3.2697707899999999</v>
      </c>
      <c r="N54" s="43">
        <v>9.70120805</v>
      </c>
      <c r="O54" s="43">
        <v>3.9809267899999998</v>
      </c>
    </row>
    <row r="55" spans="6:15" x14ac:dyDescent="0.2">
      <c r="F55">
        <f t="shared" si="19"/>
        <v>0.08</v>
      </c>
      <c r="G55">
        <f t="shared" si="19"/>
        <v>0</v>
      </c>
      <c r="H55">
        <f t="shared" si="19"/>
        <v>0</v>
      </c>
      <c r="I55" t="str">
        <f>_xlfn.CONCAT("$(=", F55, ")$")</f>
        <v>$(=0.08)$</v>
      </c>
      <c r="M55" s="43">
        <v>0.42272719399999997</v>
      </c>
      <c r="N55" s="43">
        <v>0.26377152799999998</v>
      </c>
      <c r="O55" s="43">
        <v>0.21776578299999999</v>
      </c>
    </row>
    <row r="56" spans="6:15" x14ac:dyDescent="0.2">
      <c r="M56" s="43">
        <v>1.6766249300000001E-2</v>
      </c>
      <c r="N56" s="43">
        <v>2.3784642299999998E-3</v>
      </c>
      <c r="O56" s="43">
        <v>6.0837904400000004E-3</v>
      </c>
    </row>
    <row r="57" spans="6:15" x14ac:dyDescent="0.2">
      <c r="M57" s="43">
        <v>4.2038478800000001E-3</v>
      </c>
      <c r="N57" s="43">
        <v>5.1565308900000002E-3</v>
      </c>
      <c r="O57" s="43"/>
    </row>
    <row r="58" spans="6:15" x14ac:dyDescent="0.2">
      <c r="M58" s="43">
        <v>4.6538333699999998E-3</v>
      </c>
      <c r="N58" s="43"/>
      <c r="O58" s="43"/>
    </row>
    <row r="59" spans="6:15" x14ac:dyDescent="0.2">
      <c r="M59" s="43"/>
      <c r="N59" s="43"/>
      <c r="O59" s="43"/>
    </row>
    <row r="60" spans="6:15" x14ac:dyDescent="0.2">
      <c r="M60" s="43"/>
      <c r="N60" s="43"/>
      <c r="O60" s="43"/>
    </row>
    <row r="62" spans="6:15" x14ac:dyDescent="0.2">
      <c r="M62">
        <f>M54^2</f>
        <v>10.691401019137224</v>
      </c>
      <c r="N62">
        <f t="shared" ref="N62:O62" si="21">N54^2</f>
        <v>94.113437629384805</v>
      </c>
      <c r="O62">
        <f t="shared" si="21"/>
        <v>15.847778107339703</v>
      </c>
    </row>
    <row r="63" spans="6:15" x14ac:dyDescent="0.2">
      <c r="M63">
        <f t="shared" ref="M63:O66" si="22">M55^2</f>
        <v>0.17869828054711362</v>
      </c>
      <c r="N63">
        <f t="shared" si="22"/>
        <v>6.9575418983454776E-2</v>
      </c>
      <c r="O63">
        <f t="shared" si="22"/>
        <v>4.7421936245603084E-2</v>
      </c>
    </row>
    <row r="64" spans="6:15" x14ac:dyDescent="0.2">
      <c r="M64">
        <f t="shared" si="22"/>
        <v>2.811071155897505E-4</v>
      </c>
      <c r="N64">
        <f t="shared" si="22"/>
        <v>5.6570920933894916E-6</v>
      </c>
      <c r="O64">
        <f t="shared" si="22"/>
        <v>3.7012506117835397E-5</v>
      </c>
    </row>
    <row r="65" spans="9:15" x14ac:dyDescent="0.2">
      <c r="M65">
        <f t="shared" si="22"/>
        <v>1.7672336998180497E-5</v>
      </c>
      <c r="N65">
        <f t="shared" si="22"/>
        <v>2.6589810819524195E-5</v>
      </c>
      <c r="O65">
        <f t="shared" si="22"/>
        <v>0</v>
      </c>
    </row>
    <row r="66" spans="9:15" x14ac:dyDescent="0.2">
      <c r="M66">
        <f>M58</f>
        <v>4.6538333699999998E-3</v>
      </c>
      <c r="N66">
        <f t="shared" si="22"/>
        <v>0</v>
      </c>
      <c r="O66">
        <f t="shared" si="22"/>
        <v>0</v>
      </c>
    </row>
    <row r="67" spans="9:15" x14ac:dyDescent="0.2">
      <c r="I67">
        <v>2.83183E-3</v>
      </c>
      <c r="J67">
        <v>2.2148599999999999E-3</v>
      </c>
      <c r="K67">
        <v>3.3451100000000001E-3</v>
      </c>
    </row>
    <row r="68" spans="9:15" x14ac:dyDescent="0.2">
      <c r="I68">
        <v>2.3505499999999999E-3</v>
      </c>
      <c r="J68">
        <v>2.4053799999999999E-3</v>
      </c>
      <c r="K68">
        <v>0.17594559000000001</v>
      </c>
    </row>
    <row r="69" spans="9:15" x14ac:dyDescent="0.2">
      <c r="I69">
        <v>1.0256889999999999E-2</v>
      </c>
      <c r="J69">
        <v>2.7305670000000001E-2</v>
      </c>
      <c r="K69">
        <v>2.26341E-3</v>
      </c>
    </row>
    <row r="70" spans="9:15" x14ac:dyDescent="0.2">
      <c r="I70">
        <v>1.51793E-3</v>
      </c>
      <c r="J70">
        <v>1.7919100000000001E-3</v>
      </c>
    </row>
    <row r="71" spans="9:15" x14ac:dyDescent="0.2">
      <c r="I71">
        <v>2.2214399999999999E-3</v>
      </c>
    </row>
    <row r="72" spans="9:15" x14ac:dyDescent="0.2">
      <c r="I72">
        <f>I67^2</f>
        <v>8.0192611488999993E-6</v>
      </c>
      <c r="J72">
        <f t="shared" ref="J72:K72" si="23">J67^2</f>
        <v>4.9056048195999999E-6</v>
      </c>
      <c r="K72">
        <f t="shared" si="23"/>
        <v>1.11897609121E-5</v>
      </c>
      <c r="L72">
        <f>SQRT(SUM(I72:K72))</f>
        <v>4.9106646068124019E-3</v>
      </c>
    </row>
    <row r="73" spans="9:15" x14ac:dyDescent="0.2">
      <c r="I73">
        <f t="shared" ref="I73:K73" si="24">I68^2</f>
        <v>5.5250853024999994E-6</v>
      </c>
      <c r="J73">
        <f t="shared" si="24"/>
        <v>5.7858529443999998E-6</v>
      </c>
      <c r="K73">
        <f t="shared" si="24"/>
        <v>3.0956850640448105E-2</v>
      </c>
      <c r="L73">
        <f t="shared" ref="L73:L76" si="25">SQRT(SUM(I73:K73))</f>
        <v>0.17597773034874328</v>
      </c>
    </row>
    <row r="74" spans="9:15" x14ac:dyDescent="0.2">
      <c r="I74">
        <f t="shared" ref="I74:K74" si="26">I69^2</f>
        <v>1.0520379247209999E-4</v>
      </c>
      <c r="J74">
        <f t="shared" si="26"/>
        <v>7.4559961414890003E-4</v>
      </c>
      <c r="K74">
        <f t="shared" si="26"/>
        <v>5.1230248280999996E-6</v>
      </c>
      <c r="L74">
        <f t="shared" si="25"/>
        <v>2.9256220388989073E-2</v>
      </c>
    </row>
    <row r="75" spans="9:15" x14ac:dyDescent="0.2">
      <c r="I75">
        <f t="shared" ref="I75:K75" si="27">I70^2</f>
        <v>2.3041114848999999E-6</v>
      </c>
      <c r="J75">
        <f t="shared" si="27"/>
        <v>3.2109414481000003E-6</v>
      </c>
      <c r="K75">
        <f t="shared" si="27"/>
        <v>0</v>
      </c>
      <c r="L75">
        <f t="shared" si="25"/>
        <v>2.3484149831322402E-3</v>
      </c>
    </row>
    <row r="76" spans="9:15" x14ac:dyDescent="0.2">
      <c r="I76">
        <f t="shared" ref="I76:K76" si="28">I71^2</f>
        <v>4.9347956735999996E-6</v>
      </c>
      <c r="J76">
        <f t="shared" si="28"/>
        <v>0</v>
      </c>
      <c r="K76">
        <f t="shared" si="28"/>
        <v>0</v>
      </c>
      <c r="L76">
        <f t="shared" si="25"/>
        <v>2.2214399999999999E-3</v>
      </c>
    </row>
  </sheetData>
  <mergeCells count="18">
    <mergeCell ref="A36:A39"/>
    <mergeCell ref="B37:B38"/>
    <mergeCell ref="A40:A43"/>
    <mergeCell ref="B41:B42"/>
    <mergeCell ref="A24:A27"/>
    <mergeCell ref="B25:B26"/>
    <mergeCell ref="A28:A31"/>
    <mergeCell ref="B29:B30"/>
    <mergeCell ref="B33:B34"/>
    <mergeCell ref="A32:A35"/>
    <mergeCell ref="A2:A4"/>
    <mergeCell ref="A5:A7"/>
    <mergeCell ref="A8:A10"/>
    <mergeCell ref="A11:A13"/>
    <mergeCell ref="A14:A16"/>
    <mergeCell ref="A23:B23"/>
    <mergeCell ref="A17:A19"/>
    <mergeCell ref="A1:B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input_MNIST</vt:lpstr>
      <vt:lpstr>results_MNIST</vt:lpstr>
      <vt:lpstr>results_THETIS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Engelhardt Rasmussen</dc:creator>
  <cp:lastModifiedBy>Tobias Engelhardt Rasmussen</cp:lastModifiedBy>
  <dcterms:created xsi:type="dcterms:W3CDTF">2021-01-25T09:26:58Z</dcterms:created>
  <dcterms:modified xsi:type="dcterms:W3CDTF">2021-02-01T08:34:39Z</dcterms:modified>
</cp:coreProperties>
</file>